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EAC4A102-1583-4616-96ED-E64FCB9B77C4}" xr6:coauthVersionLast="47" xr6:coauthVersionMax="47" xr10:uidLastSave="{5132855F-5393-425A-8854-7BE13EDD0628}"/>
  <bookViews>
    <workbookView xWindow="-110" yWindow="-110" windowWidth="19420" windowHeight="10300" tabRatio="810"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E1901" i="22"/>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98" i="18" l="1"/>
  <c r="D139" i="21"/>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767" i="22"/>
  <c r="D553" i="21"/>
  <c r="D557" i="21"/>
  <c r="D1552" i="21"/>
  <c r="D1567" i="21"/>
  <c r="D1695" i="21"/>
  <c r="D1707" i="21"/>
  <c r="D1720" i="21"/>
  <c r="D124" i="5"/>
  <c r="D162" i="5"/>
  <c r="D166" i="5"/>
  <c r="D48" i="18"/>
  <c r="D123" i="18"/>
  <c r="D197" i="18"/>
  <c r="D201" i="18"/>
  <c r="D394" i="22"/>
  <c r="D390" i="22"/>
  <c r="D386" i="22"/>
  <c r="D382" i="22"/>
  <c r="D1110" i="22"/>
  <c r="D1153" i="22"/>
  <c r="D1145" i="22"/>
  <c r="D1450"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20" i="15"/>
  <c r="D166" i="15"/>
  <c r="D193" i="15"/>
  <c r="D240" i="15"/>
  <c r="D314" i="15"/>
  <c r="D345" i="15"/>
  <c r="D349" i="15"/>
  <c r="D355" i="15"/>
  <c r="D471" i="22"/>
  <c r="D585" i="22"/>
  <c r="D581" i="22"/>
  <c r="D577" i="22"/>
  <c r="D573" i="22"/>
  <c r="D656" i="22"/>
  <c r="D655" i="22"/>
  <c r="D885" i="22"/>
  <c r="D876" i="22"/>
  <c r="D923" i="22"/>
  <c r="D919" i="22"/>
  <c r="D994" i="22"/>
  <c r="D1142" i="22"/>
  <c r="D1188" i="22"/>
  <c r="D1307" i="22"/>
  <c r="D1640" i="22"/>
  <c r="D1636" i="22"/>
  <c r="D1750" i="22"/>
  <c r="D1797" i="22"/>
  <c r="D182" i="21"/>
  <c r="D766" i="22"/>
  <c r="D762" i="22"/>
  <c r="D917" i="22"/>
  <c r="D963" i="22"/>
  <c r="D1028" i="22"/>
  <c r="D1180" i="22"/>
  <c r="D1299" i="22"/>
  <c r="D1294" i="22"/>
  <c r="D1415" i="22"/>
  <c r="D1408" i="22"/>
  <c r="D1493" i="22"/>
  <c r="D922" i="22"/>
  <c r="D918" i="22"/>
  <c r="D914" i="22"/>
  <c r="D964" i="22"/>
  <c r="D960" i="22"/>
  <c r="D1183"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23" i="5"/>
  <c r="D234" i="5"/>
  <c r="D242" i="5"/>
  <c r="D51" i="15"/>
  <c r="D87" i="15"/>
  <c r="D90" i="15"/>
  <c r="D119" i="15"/>
  <c r="D165" i="15"/>
  <c r="D194" i="15"/>
  <c r="D273" i="15"/>
  <c r="D274" i="15"/>
  <c r="D280" i="15"/>
  <c r="D309" i="15"/>
  <c r="D315" i="15"/>
  <c r="D346" i="15"/>
  <c r="D353" i="15"/>
  <c r="D41" i="22"/>
  <c r="D40" i="13"/>
  <c r="D116" i="13"/>
  <c r="D119" i="13"/>
  <c r="D120" i="13"/>
  <c r="D122" i="13"/>
  <c r="D49" i="14"/>
  <c r="D41" i="14"/>
  <c r="D124" i="14"/>
  <c r="D116" i="14"/>
  <c r="D163" i="14"/>
  <c r="D240" i="14"/>
  <c r="D279" i="14"/>
  <c r="D271" i="14"/>
  <c r="D393" i="14"/>
  <c r="D382" i="14"/>
  <c r="D431" i="14"/>
  <c r="D423" i="14"/>
  <c r="D534" i="14"/>
  <c r="D580" i="14"/>
  <c r="D575" i="14"/>
  <c r="D618" i="14"/>
  <c r="D610" i="14"/>
  <c r="D654" i="14"/>
  <c r="D691" i="14"/>
  <c r="D50" i="22"/>
  <c r="D42" i="22"/>
  <c r="D41" i="13"/>
  <c r="D45" i="13"/>
  <c r="D49" i="13"/>
  <c r="D53" i="13"/>
  <c r="D80" i="13"/>
  <c r="D84" i="13"/>
  <c r="D88" i="13"/>
  <c r="D502" i="14"/>
  <c r="D576" i="14"/>
  <c r="D619" i="14"/>
  <c r="D611" i="14"/>
  <c r="D733" i="14"/>
  <c r="D42" i="15"/>
  <c r="D43" i="15"/>
  <c r="D82" i="15"/>
  <c r="D123" i="15"/>
  <c r="D156" i="15"/>
  <c r="D157" i="15"/>
  <c r="D158" i="15"/>
  <c r="E172" i="15"/>
  <c r="D192" i="15"/>
  <c r="D198" i="15"/>
  <c r="D201" i="15"/>
  <c r="D202" i="15"/>
  <c r="D239" i="15"/>
  <c r="D270" i="15"/>
  <c r="D277" i="15"/>
  <c r="D278" i="15"/>
  <c r="D311" i="15"/>
  <c r="D312" i="15"/>
  <c r="D313" i="15"/>
  <c r="D319" i="15"/>
  <c r="D344" i="15"/>
  <c r="D81" i="13"/>
  <c r="D85" i="13"/>
  <c r="D89" i="13"/>
  <c r="D117" i="13"/>
  <c r="D53" i="14"/>
  <c r="D45" i="14"/>
  <c r="D128" i="14"/>
  <c r="D120" i="14"/>
  <c r="D161" i="14"/>
  <c r="D155" i="14"/>
  <c r="D200" i="14"/>
  <c r="D199" i="14"/>
  <c r="D192" i="14"/>
  <c r="D236" i="14"/>
  <c r="D388" i="14"/>
  <c r="D427" i="14"/>
  <c r="D542" i="14"/>
  <c r="D541" i="14"/>
  <c r="D583" i="14"/>
  <c r="D572" i="14"/>
  <c r="D658" i="14"/>
  <c r="D650" i="14"/>
  <c r="D40" i="15"/>
  <c r="D41" i="15"/>
  <c r="D45" i="15"/>
  <c r="D46"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807" i="22"/>
  <c r="D356" i="15"/>
  <c r="D49" i="22"/>
  <c r="D162" i="22"/>
  <c r="D161" i="22"/>
  <c r="D154" i="22"/>
  <c r="D203" i="22"/>
  <c r="D195" i="22"/>
  <c r="D238" i="22"/>
  <c r="D230" i="22"/>
  <c r="D357" i="22"/>
  <c r="D349" i="22"/>
  <c r="D459" i="22"/>
  <c r="D496" i="22"/>
  <c r="D88" i="22"/>
  <c r="D80" i="22"/>
  <c r="D126" i="22"/>
  <c r="D316" i="22"/>
  <c r="D308" i="22"/>
  <c r="D460" i="22"/>
  <c r="D726" i="22"/>
  <c r="D765" i="22"/>
  <c r="D884" i="22"/>
  <c r="D925" i="22"/>
  <c r="D53" i="22"/>
  <c r="D45" i="22"/>
  <c r="D120" i="22"/>
  <c r="D199" i="22"/>
  <c r="D241" i="22"/>
  <c r="D233" i="22"/>
  <c r="D353" i="22"/>
  <c r="D345" i="22"/>
  <c r="D465" i="22"/>
  <c r="D621" i="22"/>
  <c r="D613" i="22"/>
  <c r="D768" i="22"/>
  <c r="D1339"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98" i="22"/>
  <c r="D1036" i="22"/>
  <c r="D1104" i="22"/>
  <c r="D1149" i="22"/>
  <c r="D1187" i="22"/>
  <c r="D1261" i="22"/>
  <c r="D1342" i="22"/>
  <c r="D1335" i="22"/>
  <c r="D1419" i="22"/>
  <c r="D1416" i="22"/>
  <c r="D1570" i="22"/>
  <c r="D1562" i="22"/>
  <c r="D1647" i="22"/>
  <c r="D1639" i="22"/>
  <c r="D1682" i="22"/>
  <c r="D1867" i="22"/>
  <c r="D24" i="21"/>
  <c r="D38" i="21"/>
  <c r="D50" i="21"/>
  <c r="D242" i="21"/>
  <c r="D1000" i="22"/>
  <c r="D1117" i="22"/>
  <c r="D1150" i="22"/>
  <c r="D1257" i="22"/>
  <c r="D1303"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33" i="5"/>
  <c r="D237" i="5"/>
  <c r="D241" i="5"/>
  <c r="D44" i="18"/>
  <c r="D50" i="18"/>
  <c r="D79" i="18"/>
  <c r="D85" i="18"/>
  <c r="D154" i="18"/>
  <c r="D162" i="18"/>
  <c r="D193" i="18"/>
  <c r="D45" i="18"/>
  <c r="D205" i="18"/>
  <c r="D203" i="5"/>
  <c r="D204" i="5"/>
  <c r="D42" i="18"/>
  <c r="D52" i="18"/>
  <c r="D87" i="18"/>
  <c r="D90"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98" i="14"/>
  <c r="D233" i="14"/>
  <c r="D278" i="14"/>
  <c r="D270" i="14"/>
  <c r="D357" i="14"/>
  <c r="D354" i="14"/>
  <c r="D353" i="14"/>
  <c r="D350" i="14"/>
  <c r="D349" i="14"/>
  <c r="D346" i="14"/>
  <c r="D345" i="14"/>
  <c r="D385" i="14"/>
  <c r="D468" i="14"/>
  <c r="D460" i="14"/>
  <c r="D545" i="14"/>
  <c r="D537" i="14"/>
  <c r="D621" i="14"/>
  <c r="D613"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75" i="14"/>
  <c r="D391" i="14"/>
  <c r="D384" i="14"/>
  <c r="D465" i="14"/>
  <c r="D544" i="14"/>
  <c r="D536" i="14"/>
  <c r="D620" i="14"/>
  <c r="D612" i="14"/>
  <c r="D734" i="14"/>
  <c r="D731"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730" i="14"/>
  <c r="D1420" i="22"/>
  <c r="D46" i="21"/>
  <c r="D59" i="21"/>
  <c r="D145" i="21"/>
  <c r="D161" i="21"/>
  <c r="D180" i="21"/>
  <c r="D85" i="22"/>
  <c r="D122" i="22"/>
  <c r="D160" i="22"/>
  <c r="D202" i="22"/>
  <c r="D198" i="22"/>
  <c r="D194" i="22"/>
  <c r="D240" i="22"/>
  <c r="D232" i="22"/>
  <c r="D313" i="22"/>
  <c r="D395" i="22"/>
  <c r="D392" i="22"/>
  <c r="D391" i="22"/>
  <c r="D388" i="22"/>
  <c r="D387" i="22"/>
  <c r="D384" i="22"/>
  <c r="D383" i="22"/>
  <c r="D431" i="22"/>
  <c r="D427" i="22"/>
  <c r="D423" i="22"/>
  <c r="D469" i="22"/>
  <c r="D509" i="22"/>
  <c r="D506" i="22"/>
  <c r="D505" i="22"/>
  <c r="D502" i="22"/>
  <c r="D501" i="22"/>
  <c r="D498" i="22"/>
  <c r="D620" i="22"/>
  <c r="D612" i="22"/>
  <c r="D654" i="22"/>
  <c r="D692" i="22"/>
  <c r="D730" i="22"/>
  <c r="D772" i="22"/>
  <c r="D811" i="22"/>
  <c r="D809" i="22"/>
  <c r="D887" i="22"/>
  <c r="D879" i="22"/>
  <c r="D962" i="22"/>
  <c r="D958" i="22"/>
  <c r="D954" i="22"/>
  <c r="D1003" i="22"/>
  <c r="D1002" i="22"/>
  <c r="D1039" i="22"/>
  <c r="D1035" i="22"/>
  <c r="D1031" i="22"/>
  <c r="D1072" i="22"/>
  <c r="D1071" i="22"/>
  <c r="D1069" i="22"/>
  <c r="D1068" i="22"/>
  <c r="D1067"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74" i="22"/>
  <c r="D1872" i="22"/>
  <c r="D1866" i="22"/>
  <c r="D84" i="22"/>
  <c r="D119" i="22"/>
  <c r="D163" i="22"/>
  <c r="D157" i="22"/>
  <c r="D237" i="22"/>
  <c r="D312" i="22"/>
  <c r="D354" i="22"/>
  <c r="D350" i="22"/>
  <c r="D346" i="22"/>
  <c r="D430" i="22"/>
  <c r="D426" i="22"/>
  <c r="D422" i="22"/>
  <c r="D468" i="22"/>
  <c r="D582" i="22"/>
  <c r="D578" i="22"/>
  <c r="D574" i="22"/>
  <c r="D617"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684" i="22"/>
  <c r="D1676" i="22"/>
  <c r="D1674" i="22"/>
  <c r="D1761" i="22"/>
  <c r="D1753" i="22"/>
  <c r="D1751" i="22"/>
  <c r="D1839" i="22"/>
  <c r="D1836" i="22"/>
  <c r="D1835" i="22"/>
  <c r="D1832" i="22"/>
  <c r="D1831" i="22"/>
  <c r="D1828" i="22"/>
  <c r="D1827" i="22"/>
  <c r="D1871"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544" i="22"/>
  <c r="D540" i="22"/>
  <c r="D536" i="22"/>
  <c r="D616" i="22"/>
  <c r="D658" i="22"/>
  <c r="D650" i="22"/>
  <c r="D696" i="22"/>
  <c r="D688" i="22"/>
  <c r="D883" i="22"/>
  <c r="D1107" i="22"/>
  <c r="D1225" i="22"/>
  <c r="D1223" i="22"/>
  <c r="D1383" i="22"/>
  <c r="D1381" i="22"/>
  <c r="D1380" i="22"/>
  <c r="D1379" i="22"/>
  <c r="D1377" i="22"/>
  <c r="D1376" i="22"/>
  <c r="D1375" i="22"/>
  <c r="D1373" i="22"/>
  <c r="D1372" i="22"/>
  <c r="D1371" i="22"/>
  <c r="D1456" i="22"/>
  <c r="D1452" i="22"/>
  <c r="D1448" i="22"/>
  <c r="D1494" i="22"/>
  <c r="D1486" i="22"/>
  <c r="D1608" i="22"/>
  <c r="D1604" i="22"/>
  <c r="D1600" i="22"/>
  <c r="D1681"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731" i="22"/>
  <c r="D771" i="22"/>
  <c r="D764" i="22"/>
  <c r="D812" i="22"/>
  <c r="D806" i="22"/>
  <c r="D805" i="22"/>
  <c r="D802" i="22"/>
  <c r="D801" i="22"/>
  <c r="D800" i="22"/>
  <c r="D882" i="22"/>
  <c r="D924" i="22"/>
  <c r="D920" i="22"/>
  <c r="D916" i="22"/>
  <c r="D996" i="22"/>
  <c r="D992" i="22"/>
  <c r="D1076" i="22"/>
  <c r="D1112" i="22"/>
  <c r="D1106"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61" i="18"/>
  <c r="D196" i="18"/>
  <c r="D156" i="18"/>
  <c r="D164"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679" i="22"/>
  <c r="D1678" i="22"/>
  <c r="D1686" i="22"/>
  <c r="D1685" i="22"/>
  <c r="D1649" i="22"/>
  <c r="D1645" i="22"/>
  <c r="D1641" i="22"/>
  <c r="D1637" i="22"/>
  <c r="D1611" i="22"/>
  <c r="D1607" i="22"/>
  <c r="D1603" i="22"/>
  <c r="D1599" i="22"/>
  <c r="D1572" i="22"/>
  <c r="D1571" i="22"/>
  <c r="D1568" i="22"/>
  <c r="D1567" i="22"/>
  <c r="D1564" i="22"/>
  <c r="D1563" i="22"/>
  <c r="D1560" i="22"/>
  <c r="D1573" i="22"/>
  <c r="D1569" i="22"/>
  <c r="D1565" i="22"/>
  <c r="D1561" i="22"/>
  <c r="D1534" i="22"/>
  <c r="D1533" i="22"/>
  <c r="D1530" i="22"/>
  <c r="D1529" i="22"/>
  <c r="D1526" i="22"/>
  <c r="D1525" i="22"/>
  <c r="D1522"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31" i="22"/>
  <c r="D1230" i="22"/>
  <c r="D1222" i="22"/>
  <c r="D1218"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46" i="22"/>
  <c r="D545" i="22"/>
  <c r="D542" i="22"/>
  <c r="D541" i="22"/>
  <c r="D538" i="22"/>
  <c r="D537" i="22"/>
  <c r="D534" i="22"/>
  <c r="D547" i="22"/>
  <c r="D543" i="22"/>
  <c r="D539" i="22"/>
  <c r="D535" i="22"/>
  <c r="D508" i="22"/>
  <c r="D507" i="22"/>
  <c r="D504" i="22"/>
  <c r="D503" i="22"/>
  <c r="D500" i="22"/>
  <c r="D499" i="22"/>
  <c r="D462" i="22"/>
  <c r="D433" i="22"/>
  <c r="D429" i="22"/>
  <c r="D425" i="22"/>
  <c r="D421" i="22"/>
  <c r="D356" i="22"/>
  <c r="D355" i="22"/>
  <c r="D352" i="22"/>
  <c r="D351" i="22"/>
  <c r="D348" i="22"/>
  <c r="D347" i="22"/>
  <c r="D344" i="22"/>
  <c r="D319" i="22"/>
  <c r="D318" i="22"/>
  <c r="D311" i="22"/>
  <c r="D310" i="22"/>
  <c r="D315" i="22"/>
  <c r="D314" i="22"/>
  <c r="D307" i="22"/>
  <c r="D306" i="22"/>
  <c r="D280" i="22"/>
  <c r="D279" i="22"/>
  <c r="D276" i="22"/>
  <c r="D275" i="22"/>
  <c r="D272" i="22"/>
  <c r="D271" i="22"/>
  <c r="D268"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18" i="14"/>
  <c r="D317" i="14"/>
  <c r="D314" i="14"/>
  <c r="D313" i="14"/>
  <c r="D310" i="14"/>
  <c r="D309" i="14"/>
  <c r="D306"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52" i="14"/>
  <c r="D51" i="14"/>
  <c r="D48" i="14"/>
  <c r="D47" i="14"/>
  <c r="D44" i="14"/>
  <c r="D43" i="14"/>
  <c r="D40"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AT38" i="9" a="1"/>
  <c r="CC28" i="9" a="1"/>
  <c r="AO31" i="9" a="1"/>
  <c r="BU24" i="9" a="1"/>
  <c r="T39" i="9" a="1"/>
  <c r="AA40" i="9" a="1"/>
  <c r="BA39" i="9" a="1"/>
  <c r="X40" i="9" a="1"/>
  <c r="E35" i="9" a="1"/>
  <c r="CG39" i="9" a="1"/>
  <c r="AU31" i="9" a="1"/>
  <c r="K704" i="22"/>
  <c r="BU31" i="9" a="1"/>
  <c r="BM23" i="9" a="1"/>
  <c r="AP21" i="9" a="1"/>
  <c r="BD32" i="9" a="1"/>
  <c r="K590" i="22"/>
  <c r="S30" i="9" a="1"/>
  <c r="BP22" i="9" a="1"/>
  <c r="N34" i="9" a="1"/>
  <c r="BO33" i="9" a="1"/>
  <c r="AG21" i="9" a="1"/>
  <c r="AH23" i="9" a="1"/>
  <c r="CE26" i="9" a="1"/>
  <c r="J25" i="9" a="1"/>
  <c r="F39" i="9" a="1"/>
  <c r="CA25" i="9" a="1"/>
  <c r="AB37" i="9" a="1"/>
  <c r="K1578" i="22"/>
  <c r="CG22" i="9" a="1"/>
  <c r="CD37" i="9" a="1"/>
  <c r="BP40" i="9" a="1"/>
  <c r="BD34" i="9" a="1"/>
  <c r="AQ33" i="9" a="1"/>
  <c r="AO26" i="9" a="1"/>
  <c r="BX25" i="9" a="1"/>
  <c r="J31" i="9" a="1"/>
  <c r="AO29" i="9" a="1"/>
  <c r="L26" i="9" a="1"/>
  <c r="CD34" i="9" a="1"/>
  <c r="AN25" i="9" a="1"/>
  <c r="Y37" i="9" a="1"/>
  <c r="AT39" i="9" a="1"/>
  <c r="Y21" i="9" a="1"/>
  <c r="AI25" i="9" a="1"/>
  <c r="AD21" i="9" a="1"/>
  <c r="BQ22" i="9" a="1"/>
  <c r="X38" i="9" a="1"/>
  <c r="AD38" i="9" a="1"/>
  <c r="AO33" i="9" a="1"/>
  <c r="CD28" i="9" a="1"/>
  <c r="AQ40" i="9" a="1"/>
  <c r="AV36" i="9" a="1"/>
  <c r="P28" i="9" a="1"/>
  <c r="K20" i="15"/>
  <c r="BL31" i="9" a="1"/>
  <c r="F22" i="9" a="1"/>
  <c r="CG33" i="9" a="1"/>
  <c r="T22" i="9" a="1"/>
  <c r="AW23" i="9" a="1"/>
  <c r="AV33" i="9" a="1"/>
  <c r="AL25" i="9" a="1"/>
  <c r="BF34" i="9" a="1"/>
  <c r="CL36" i="9" a="1"/>
  <c r="BL23" i="9" a="1"/>
  <c r="BD36" i="9" a="1"/>
  <c r="BU21" i="9" a="1"/>
  <c r="CH24" i="9" a="1"/>
  <c r="AY38" i="9" a="1"/>
  <c r="AX20" i="9" a="1"/>
  <c r="AI33" i="9" a="1"/>
  <c r="P36" i="9" a="1"/>
  <c r="BM31" i="9" a="1"/>
  <c r="AW39" i="9" a="1"/>
  <c r="BM28" i="9" a="1"/>
  <c r="Y22" i="9" a="1"/>
  <c r="AY30" i="9" a="1"/>
  <c r="F40" i="9" a="1"/>
  <c r="CC25" i="9" a="1"/>
  <c r="K58" i="18"/>
  <c r="CG28" i="9" a="1"/>
  <c r="CE24" i="9" a="1"/>
  <c r="AG20" i="9" a="1"/>
  <c r="AJ20" i="9" a="1"/>
  <c r="BM40" i="9" a="1"/>
  <c r="BJ37" i="9" a="1"/>
  <c r="BR28" i="9" a="1"/>
  <c r="BJ28" i="9" a="1"/>
  <c r="BB29" i="9" a="1"/>
  <c r="BJ39" i="9" a="1"/>
  <c r="AS40" i="9" a="1"/>
  <c r="CI24" i="9" a="1"/>
  <c r="AX26" i="9" a="1"/>
  <c r="AJ25" i="9" a="1"/>
  <c r="CE35" i="9" a="1"/>
  <c r="BM36" i="9" a="1"/>
  <c r="AW32" i="9" a="1"/>
  <c r="BA29" i="9" a="1"/>
  <c r="AG32" i="9" a="1"/>
  <c r="L39" i="9" a="1"/>
  <c r="BG23" i="9" a="1"/>
  <c r="AG36" i="9" a="1"/>
  <c r="BV25" i="9" a="1"/>
  <c r="H22" i="9" a="1"/>
  <c r="BM38" i="9" a="1"/>
  <c r="AV38" i="9" a="1"/>
  <c r="AA29" i="9" a="1"/>
  <c r="BL39" i="9" a="1"/>
  <c r="AC36" i="9" a="1"/>
  <c r="BV23" i="9" a="1"/>
  <c r="AN31" i="9" a="1"/>
  <c r="BO32" i="9" a="1"/>
  <c r="AO24" i="9" a="1"/>
  <c r="AE27" i="9" a="1"/>
  <c r="BX34" i="9" a="1"/>
  <c r="H26" i="9" a="1"/>
  <c r="AO40" i="9" a="1"/>
  <c r="V25" i="9" a="1"/>
  <c r="J21" i="9" a="1"/>
  <c r="CR20" i="9" a="1"/>
  <c r="T34" i="9" a="1"/>
  <c r="AN35" i="9" a="1"/>
  <c r="AV35" i="9" a="1"/>
  <c r="I30" i="9" a="1"/>
  <c r="AZ31" i="9" a="1"/>
  <c r="R39" i="9" a="1"/>
  <c r="CK40" i="9" a="1"/>
  <c r="AH31" i="9" a="1"/>
  <c r="K39" i="9" a="1"/>
  <c r="AL34" i="9" a="1"/>
  <c r="BC22" i="9" a="1"/>
  <c r="AU32" i="9" a="1"/>
  <c r="BH37" i="9" a="1"/>
  <c r="CI33" i="9" a="1"/>
  <c r="BN36" i="9" a="1"/>
  <c r="CP33" i="9" a="1"/>
  <c r="BP38" i="9" a="1"/>
  <c r="K172" i="22"/>
  <c r="BC33" i="9" a="1"/>
  <c r="BA23" i="9" a="1"/>
  <c r="BR21" i="9" a="1"/>
  <c r="AG34" i="9" a="1"/>
  <c r="CI35" i="9" a="1"/>
  <c r="CK34" i="9" a="1"/>
  <c r="Q35" i="9" a="1"/>
  <c r="AG27" i="9" a="1"/>
  <c r="BL32" i="9" a="1"/>
  <c r="M40" i="9" a="1"/>
  <c r="BA36" i="9" a="1"/>
  <c r="F28" i="9" a="1"/>
  <c r="AQ39" i="9" a="1"/>
  <c r="BG35" i="9" a="1"/>
  <c r="V21" i="9" a="1"/>
  <c r="AW40" i="9" a="1"/>
  <c r="CN25" i="9" a="1"/>
  <c r="BM29" i="9" a="1"/>
  <c r="BS39" i="9" a="1"/>
  <c r="AR29" i="9" a="1"/>
  <c r="O27" i="9" a="1"/>
  <c r="CQ39" i="9" a="1"/>
  <c r="CF36" i="9" a="1"/>
  <c r="BO20" i="9" a="1"/>
  <c r="AO28" i="9" a="1"/>
  <c r="K742" i="22"/>
  <c r="BS20" i="9" a="1"/>
  <c r="BR36" i="9" a="1"/>
  <c r="AP22" i="9" a="1"/>
  <c r="CB36" i="9" a="1"/>
  <c r="V22" i="9" a="1"/>
  <c r="AF40" i="9" a="1"/>
  <c r="T36" i="9" a="1"/>
  <c r="BW40" i="9" a="1"/>
  <c r="S20" i="9" a="1"/>
  <c r="K96" i="13"/>
  <c r="BN32" i="9" a="1"/>
  <c r="BY31" i="9" a="1"/>
  <c r="G25" i="9" a="1"/>
  <c r="P34" i="9" a="1"/>
  <c r="K210" i="22"/>
  <c r="CQ23" i="9" a="1"/>
  <c r="BA32" i="9" a="1"/>
  <c r="Z39" i="9" a="1"/>
  <c r="V27" i="9" a="1"/>
  <c r="AS20" i="9" a="1"/>
  <c r="M22" i="9" a="1"/>
  <c r="AY31" i="9" a="1"/>
  <c r="AZ23" i="9" a="1"/>
  <c r="M20" i="9" a="1"/>
  <c r="CE32" i="9" a="1"/>
  <c r="BO34" i="9" a="1"/>
  <c r="K134" i="22"/>
  <c r="K58" i="5"/>
  <c r="AQ28" i="9" a="1"/>
  <c r="AY35" i="9" a="1"/>
  <c r="AP31" i="9" a="1"/>
  <c r="L33" i="9" a="1"/>
  <c r="AM40" i="9" a="1"/>
  <c r="AZ36" i="9" a="1"/>
  <c r="T40" i="9" a="1"/>
  <c r="T29" i="9" a="1"/>
  <c r="AF39" i="9" a="1"/>
  <c r="AL40" i="9" a="1"/>
  <c r="BO38" i="9" a="1"/>
  <c r="AT34" i="9" a="1"/>
  <c r="BO23" i="9" a="1"/>
  <c r="BD39" i="9" a="1"/>
  <c r="Z36" i="9" a="1"/>
  <c r="P33" i="9" a="1"/>
  <c r="Q40" i="9" a="1"/>
  <c r="BC23" i="9" a="1"/>
  <c r="CQ40" i="9" a="1"/>
  <c r="BS40" i="9" a="1"/>
  <c r="U31" i="9" a="1"/>
  <c r="AO32" i="9" a="1"/>
  <c r="CJ22" i="9" a="1"/>
  <c r="Q29" i="9" a="1"/>
  <c r="BJ22" i="9" a="1"/>
  <c r="BF40" i="9" a="1"/>
  <c r="G36" i="9" a="1"/>
  <c r="Y31" i="9" a="1"/>
  <c r="BI31" i="9" a="1"/>
  <c r="CH36" i="9" a="1"/>
  <c r="Z20" i="9" a="1"/>
  <c r="AE23" i="9" a="1"/>
  <c r="BP36" i="9" a="1"/>
  <c r="BG36" i="9" a="1"/>
  <c r="AI20" i="9" a="1"/>
  <c r="K20" i="22"/>
  <c r="CG34" i="9" a="1"/>
  <c r="E39" i="9" a="1"/>
  <c r="BI21" i="9" a="1"/>
  <c r="BU39" i="9" a="1"/>
  <c r="CJ27" i="9" a="1"/>
  <c r="AO22" i="9" a="1"/>
  <c r="CL27" i="9" a="1"/>
  <c r="BU33" i="9" a="1"/>
  <c r="BO29" i="9" a="1"/>
  <c r="CP38" i="9" a="1"/>
  <c r="AR21" i="9" a="1"/>
  <c r="BR38" i="9" a="1"/>
  <c r="V40" i="9" a="1"/>
  <c r="CH22" i="9" a="1"/>
  <c r="X26" i="9" a="1"/>
  <c r="AG39" i="9" a="1"/>
  <c r="AL37" i="9" a="1"/>
  <c r="W33" i="9" a="1"/>
  <c r="O34" i="9" a="1"/>
  <c r="CK28" i="9" a="1"/>
  <c r="AP40" i="9" a="1"/>
  <c r="O39" i="9" a="1"/>
  <c r="H40" i="9" a="1"/>
  <c r="CJ36" i="9" a="1"/>
  <c r="BE35" i="9" a="1"/>
  <c r="BW39" i="9" a="1"/>
  <c r="O24" i="9" a="1"/>
  <c r="K286" i="22"/>
  <c r="F26" i="9" a="1"/>
  <c r="BT27" i="9" a="1"/>
  <c r="Y39" i="9" a="1"/>
  <c r="AY32" i="9" a="1"/>
  <c r="BK25" i="9" a="1"/>
  <c r="BY33" i="9" a="1"/>
  <c r="K26" i="9" a="1"/>
  <c r="CB35" i="9" a="1"/>
  <c r="AY28" i="9" a="1"/>
  <c r="BY28" i="9" a="1"/>
  <c r="BW21" i="9" a="1"/>
  <c r="BU23" i="9" a="1"/>
  <c r="AJ34" i="9" a="1"/>
  <c r="CK30" i="9" a="1"/>
  <c r="L28" i="9" a="1"/>
  <c r="AM23" i="9" a="1"/>
  <c r="BR30" i="9" a="1"/>
  <c r="CH38" i="9" a="1"/>
  <c r="BQ38" i="9" a="1"/>
  <c r="BI40" i="9" a="1"/>
  <c r="BD24" i="9" a="1"/>
  <c r="Z31" i="9" a="1"/>
  <c r="AZ26" i="9" a="1"/>
  <c r="S28" i="9" a="1"/>
  <c r="BQ34" i="9" a="1"/>
  <c r="X37" i="9" a="1"/>
  <c r="AI31" i="9" a="1"/>
  <c r="BF29" i="9" a="1"/>
  <c r="K324" i="15"/>
  <c r="AZ27" i="9" a="1"/>
  <c r="U25" i="9" a="1"/>
  <c r="AF34" i="9" a="1"/>
  <c r="BN24" i="9" a="1"/>
  <c r="W23" i="9" a="1"/>
  <c r="BN23" i="9" a="1"/>
  <c r="CG30" i="9" a="1"/>
  <c r="AO35" i="9" a="1"/>
  <c r="BZ22" i="9" a="1"/>
  <c r="BB31" i="9" a="1"/>
  <c r="K22" i="9" a="1"/>
  <c r="AD34" i="9" a="1"/>
  <c r="CQ30" i="9" a="1"/>
  <c r="AJ24" i="9" a="1"/>
  <c r="AA34" i="9" a="1"/>
  <c r="R28" i="9" a="1"/>
  <c r="CH29" i="9" a="1"/>
  <c r="AT23" i="9" a="1"/>
  <c r="BD23" i="9" a="1"/>
  <c r="CL28" i="9" a="1"/>
  <c r="BZ35" i="9" a="1"/>
  <c r="CO32" i="9" a="1"/>
  <c r="U40" i="9" a="1"/>
  <c r="AN26" i="9" a="1"/>
  <c r="CC38" i="9" a="1"/>
  <c r="AG24" i="9" a="1"/>
  <c r="CH30" i="9" a="1"/>
  <c r="CM35" i="9" a="1"/>
  <c r="O38" i="9" a="1"/>
  <c r="BC21" i="9" a="1"/>
  <c r="CP20" i="9" a="1"/>
  <c r="F36" i="9" a="1"/>
  <c r="BF37" i="9" a="1"/>
  <c r="K1350" i="22"/>
  <c r="CN22" i="9" a="1"/>
  <c r="AI21" i="9" a="1"/>
  <c r="CM21" i="9" a="1"/>
  <c r="CM38" i="9" a="1"/>
  <c r="CJ35" i="9" a="1"/>
  <c r="AB22" i="9" a="1"/>
  <c r="BR27" i="9" a="1"/>
  <c r="L37" i="9" a="1"/>
  <c r="AN36" i="9" a="1"/>
  <c r="AC22" i="9" a="1"/>
  <c r="BH27" i="9" a="1"/>
  <c r="AF28" i="9" a="1"/>
  <c r="CE39" i="9" a="1"/>
  <c r="N36" i="9" a="1"/>
  <c r="Y33" i="9" a="1"/>
  <c r="BU36" i="9" a="1"/>
  <c r="BN29" i="9" a="1"/>
  <c r="BI32" i="9" a="1"/>
  <c r="AB29" i="9" a="1"/>
  <c r="BO28" i="9" a="1"/>
  <c r="AW31" i="9" a="1"/>
  <c r="AT30" i="9" a="1"/>
  <c r="BU29" i="9" a="1"/>
  <c r="CI37" i="9" a="1"/>
  <c r="BU22" i="9" a="1"/>
  <c r="AO37" i="9" a="1"/>
  <c r="CF40" i="9" a="1"/>
  <c r="AS22" i="9" a="1"/>
  <c r="Q31" i="9" a="1"/>
  <c r="Q33" i="9" a="1"/>
  <c r="CO26" i="9" a="1"/>
  <c r="BP21" i="9" a="1"/>
  <c r="CH27" i="9" a="1"/>
  <c r="G39" i="9" a="1"/>
  <c r="BK29" i="9" a="1"/>
  <c r="AQ27" i="9" a="1"/>
  <c r="CF28" i="9" a="1"/>
  <c r="AW25" i="9" a="1"/>
  <c r="AT35" i="9" a="1"/>
  <c r="K24" i="9" a="1"/>
  <c r="AK39" i="9" a="1"/>
  <c r="BB34" i="9" a="1"/>
  <c r="Z32" i="9" a="1"/>
  <c r="CB38" i="9" a="1"/>
  <c r="BN34" i="9" a="1"/>
  <c r="K58" i="14"/>
  <c r="CG37" i="9" a="1"/>
  <c r="BB25" i="9" a="1"/>
  <c r="CM29" i="9" a="1"/>
  <c r="Q21" i="9" a="1"/>
  <c r="CI25" i="9" a="1"/>
  <c r="CH25" i="9" a="1"/>
  <c r="BP31" i="9" a="1"/>
  <c r="BJ27" i="9" a="1"/>
  <c r="S32" i="9" a="1"/>
  <c r="AE38" i="9" a="1"/>
  <c r="L34" i="9" a="1"/>
  <c r="CR24" i="9" a="1"/>
  <c r="BT21" i="9" a="1"/>
  <c r="AN21" i="9" a="1"/>
  <c r="T33" i="9" a="1"/>
  <c r="AF22" i="9" a="1"/>
  <c r="BS35" i="9" a="1"/>
  <c r="AX22" i="9" a="1"/>
  <c r="AO23" i="9" a="1"/>
  <c r="BI37" i="9" a="1"/>
  <c r="CM25" i="9" a="1"/>
  <c r="H31" i="9" a="1"/>
  <c r="BT40" i="9" a="1"/>
  <c r="AY20" i="9" a="1"/>
  <c r="BX35" i="9" a="1"/>
  <c r="E24" i="9" a="1"/>
  <c r="BX38" i="9" a="1"/>
  <c r="CR40" i="9" a="1"/>
  <c r="BE34" i="9" a="1"/>
  <c r="AI27" i="9" a="1"/>
  <c r="AO36" i="9" a="1"/>
  <c r="AS30" i="9" a="1"/>
  <c r="BD28" i="9" a="1"/>
  <c r="M31" i="9" a="1"/>
  <c r="P37" i="9" a="1"/>
  <c r="K96" i="18"/>
  <c r="AI35" i="9" a="1"/>
  <c r="N38" i="9" a="1"/>
  <c r="BH24" i="9" a="1"/>
  <c r="BE24" i="9" a="1"/>
  <c r="AQ26" i="9" a="1"/>
  <c r="L35" i="9" a="1"/>
  <c r="BH38" i="9" a="1"/>
  <c r="W27" i="9" a="1"/>
  <c r="AD40" i="9" a="1"/>
  <c r="S21" i="9" a="1"/>
  <c r="Z33" i="9" a="1"/>
  <c r="BU20" i="9" a="1"/>
  <c r="E40" i="9" a="1"/>
  <c r="BH35" i="9" a="1"/>
  <c r="H32" i="9" a="1"/>
  <c r="CP25" i="9" a="1"/>
  <c r="CD36" i="9" a="1"/>
  <c r="CE40" i="9" a="1"/>
  <c r="AI32" i="9" a="1"/>
  <c r="BJ20" i="9" a="1"/>
  <c r="BP24" i="9" a="1"/>
  <c r="Z26" i="9" a="1"/>
  <c r="AA37" i="9" a="1"/>
  <c r="CC40" i="9" a="1"/>
  <c r="AT22" i="9" a="1"/>
  <c r="AH26" i="9" a="1"/>
  <c r="AZ28" i="9" a="1"/>
  <c r="X25" i="9" a="1"/>
  <c r="Z23" i="9" a="1"/>
  <c r="H35" i="9" a="1"/>
  <c r="K362" i="22"/>
  <c r="W26" i="9" a="1"/>
  <c r="AQ30" i="9" a="1"/>
  <c r="S40" i="9" a="1"/>
  <c r="CJ20" i="9" a="1"/>
  <c r="AJ40" i="9" a="1"/>
  <c r="E37" i="9" a="1"/>
  <c r="V38" i="9" a="1"/>
  <c r="BJ40" i="9" a="1"/>
  <c r="L31" i="9" a="1"/>
  <c r="CL32" i="9" a="1"/>
  <c r="BP39" i="9" a="1"/>
  <c r="AT31" i="9" a="1"/>
  <c r="H34" i="9" a="1"/>
  <c r="BE40" i="9" a="1"/>
  <c r="BK23" i="9" a="1"/>
  <c r="BY30" i="9" a="1"/>
  <c r="P35" i="9" a="1"/>
  <c r="CL34" i="9" a="1"/>
  <c r="BW38" i="9" a="1"/>
  <c r="BR23" i="9" a="1"/>
  <c r="AU25" i="9" a="1"/>
  <c r="CK22" i="9" a="1"/>
  <c r="BP33" i="9" a="1"/>
  <c r="AA27" i="9" a="1"/>
  <c r="BL35" i="9" a="1"/>
  <c r="BZ36" i="9" a="1"/>
  <c r="AZ32" i="9" a="1"/>
  <c r="BQ40" i="9" a="1"/>
  <c r="AX24" i="9" a="1"/>
  <c r="AX21" i="9" a="1"/>
  <c r="CB32" i="9" a="1"/>
  <c r="Q28" i="9" a="1"/>
  <c r="AB21" i="9" a="1"/>
  <c r="BH23" i="9" a="1"/>
  <c r="BQ39" i="9" a="1"/>
  <c r="BL25" i="9" a="1"/>
  <c r="BA38" i="9" a="1"/>
  <c r="L36" i="9" a="1"/>
  <c r="CA35" i="9" a="1"/>
  <c r="BM25" i="9" a="1"/>
  <c r="AS29" i="9" a="1"/>
  <c r="CJ28" i="9" a="1"/>
  <c r="CP24" i="9" a="1"/>
  <c r="Z38" i="9" a="1"/>
  <c r="BQ36" i="9" a="1"/>
  <c r="CJ33" i="9" a="1"/>
  <c r="I33" i="9" a="1"/>
  <c r="AF24" i="9" a="1"/>
  <c r="BG30" i="9" a="1"/>
  <c r="BJ25" i="9" a="1"/>
  <c r="AQ21" i="9" a="1"/>
  <c r="AT29" i="9" a="1"/>
  <c r="CQ26" i="9" a="1"/>
  <c r="L29" i="9" a="1"/>
  <c r="CR37" i="9" a="1"/>
  <c r="BR37" i="9" a="1"/>
  <c r="AC39" i="9" a="1"/>
  <c r="K1274" i="22"/>
  <c r="BA27" i="9" a="1"/>
  <c r="BE30" i="9" a="1"/>
  <c r="W38" i="9" a="1"/>
  <c r="CK25" i="9" a="1"/>
  <c r="BE39" i="9" a="1"/>
  <c r="CA32" i="9" a="1"/>
  <c r="BN33" i="9" a="1"/>
  <c r="F23" i="9" a="1"/>
  <c r="I24" i="9" a="1"/>
  <c r="U24" i="9" a="1"/>
  <c r="J39" i="9" a="1"/>
  <c r="AT20" i="9" a="1"/>
  <c r="AE39" i="9" a="1"/>
  <c r="BD35" i="9" a="1"/>
  <c r="AZ40" i="9" a="1"/>
  <c r="X35" i="9" a="1"/>
  <c r="AE30" i="9" a="1"/>
  <c r="O33" i="9" a="1"/>
  <c r="CE36" i="9" a="1"/>
  <c r="AF29" i="9" a="1"/>
  <c r="BJ31" i="9" a="1"/>
  <c r="J38" i="9" a="1"/>
  <c r="AR34" i="9" a="1"/>
  <c r="V24" i="9" a="1"/>
  <c r="BT23" i="9" a="1"/>
  <c r="BH26" i="9" a="1"/>
  <c r="BG24" i="9" a="1"/>
  <c r="CF27" i="9" a="1"/>
  <c r="Y26" i="9" a="1"/>
  <c r="BO25" i="9" a="1"/>
  <c r="V33" i="9" a="1"/>
  <c r="N25" i="9" a="1"/>
  <c r="AU24" i="9" a="1"/>
  <c r="BL24" i="9" a="1"/>
  <c r="N28" i="9" a="1"/>
  <c r="BN40" i="9" a="1"/>
  <c r="CP21" i="9" a="1"/>
  <c r="X28" i="9" a="1"/>
  <c r="AH34" i="9" a="1"/>
  <c r="AM24" i="9" a="1"/>
  <c r="BZ33" i="9" a="1"/>
  <c r="AE21" i="9" a="1"/>
  <c r="O40" i="9" a="1"/>
  <c r="AH24" i="9" a="1"/>
  <c r="CB23" i="9" a="1"/>
  <c r="R22" i="9" a="1"/>
  <c r="X29" i="9" a="1"/>
  <c r="AP30" i="9" a="1"/>
  <c r="AT27" i="9" a="1"/>
  <c r="BL22" i="9" a="1"/>
  <c r="AW20" i="9" a="1"/>
  <c r="CH40" i="9" a="1"/>
  <c r="M26" i="9" a="1"/>
  <c r="J37" i="9" a="1"/>
  <c r="BQ20" i="9" a="1"/>
  <c r="CJ40" i="9" a="1"/>
  <c r="N30" i="9" a="1"/>
  <c r="AC38" i="9" a="1"/>
  <c r="AA24" i="9" a="1"/>
  <c r="Z34" i="9" a="1"/>
  <c r="CG40" i="9" a="1"/>
  <c r="AR37" i="9" a="1"/>
  <c r="CF25" i="9" a="1"/>
  <c r="BT30" i="9" a="1"/>
  <c r="CN38" i="9" a="1"/>
  <c r="N40" i="9" a="1"/>
  <c r="J24" i="9" a="1"/>
  <c r="BQ21" i="9" a="1"/>
  <c r="W24" i="9" a="1"/>
  <c r="AD23" i="9" a="1"/>
  <c r="AV29" i="9" a="1"/>
  <c r="BC39" i="9" a="1"/>
  <c r="BP34" i="9" a="1"/>
  <c r="W36" i="9" a="1"/>
  <c r="BF33" i="9" a="1"/>
  <c r="AK23" i="9" a="1"/>
  <c r="U28" i="9" a="1"/>
  <c r="AK40" i="9" a="1"/>
  <c r="H21" i="9" a="1"/>
  <c r="O22" i="9" a="1"/>
  <c r="BR20" i="9" a="1"/>
  <c r="AR31" i="9" a="1"/>
  <c r="AV24" i="9" a="1"/>
  <c r="CF39" i="9" a="1"/>
  <c r="T24" i="9" a="1"/>
  <c r="BJ38" i="9" a="1"/>
  <c r="K23" i="9" a="1"/>
  <c r="BQ37" i="9" a="1"/>
  <c r="BO36" i="9" a="1"/>
  <c r="K1844" i="22"/>
  <c r="AN23" i="9" a="1"/>
  <c r="CC39" i="9" a="1"/>
  <c r="AN39" i="9" a="1"/>
  <c r="CA28" i="9" a="1"/>
  <c r="CN24" i="9" a="1"/>
  <c r="K552" i="22"/>
  <c r="AA38" i="9" a="1"/>
  <c r="BC31" i="9" a="1"/>
  <c r="AK22" i="9" a="1"/>
  <c r="AF31" i="9" a="1"/>
  <c r="BK36" i="9" a="1"/>
  <c r="AV27" i="9" a="1"/>
  <c r="AU28" i="9" a="1"/>
  <c r="S24" i="9" a="1"/>
  <c r="AH40" i="9" a="1"/>
  <c r="CB33" i="9" a="1"/>
  <c r="AV26" i="9" a="1"/>
  <c r="AB26" i="9" a="1"/>
  <c r="BN25" i="9" a="1"/>
  <c r="T32" i="9" a="1"/>
  <c r="CK26" i="9" a="1"/>
  <c r="AD29" i="9" a="1"/>
  <c r="BD40" i="9" a="1"/>
  <c r="V28" i="9" a="1"/>
  <c r="CG36" i="9" a="1"/>
  <c r="AU34" i="9" a="1"/>
  <c r="CC21" i="9" a="1"/>
  <c r="AY39" i="9" a="1"/>
  <c r="AP20" i="9" a="1"/>
  <c r="CF37" i="9" a="1"/>
  <c r="AN38" i="9" a="1"/>
  <c r="BG27" i="9" a="1"/>
  <c r="BI39" i="9" a="1"/>
  <c r="BM39" i="9" a="1"/>
  <c r="AL21" i="9" a="1"/>
  <c r="BV34" i="9" a="1"/>
  <c r="BG21" i="9" a="1"/>
  <c r="M30" i="9" a="1"/>
  <c r="AH32" i="9" a="1"/>
  <c r="BS25" i="9" a="1"/>
  <c r="CO20" i="9" a="1"/>
  <c r="BE23" i="9" a="1"/>
  <c r="AU20" i="9" a="1"/>
  <c r="U39" i="9" a="1"/>
  <c r="BE26" i="9" a="1"/>
  <c r="CP32" i="9" a="1"/>
  <c r="BC40" i="9" a="1"/>
  <c r="J35" i="9" a="1"/>
  <c r="BH28" i="9" a="1"/>
  <c r="AY33" i="9" a="1"/>
  <c r="BY27" i="9" a="1"/>
  <c r="CR39" i="9" a="1"/>
  <c r="T21" i="9" a="1"/>
  <c r="S22" i="9" a="1"/>
  <c r="BQ33" i="9" a="1"/>
  <c r="BX33" i="9" a="1"/>
  <c r="AE22" i="9" a="1"/>
  <c r="CK35" i="9" a="1"/>
  <c r="AE37" i="9" a="1"/>
  <c r="AB23" i="9" a="1"/>
  <c r="AZ24" i="9" a="1"/>
  <c r="L22" i="9" a="1"/>
  <c r="BD30" i="9" a="1"/>
  <c r="BX23" i="9" a="1"/>
  <c r="BR31" i="9" a="1"/>
  <c r="I38" i="9" a="1"/>
  <c r="AP29" i="9" a="1"/>
  <c r="BU28" i="9" a="1"/>
  <c r="N24" i="9" a="1"/>
  <c r="CO39" i="9" a="1"/>
  <c r="P22" i="9" a="1"/>
  <c r="CO33" i="9" a="1"/>
  <c r="R21" i="9" a="1"/>
  <c r="CA40" i="9" a="1"/>
  <c r="AW33" i="9" a="1"/>
  <c r="AR30" i="9" a="1"/>
  <c r="CP30" i="9" a="1"/>
  <c r="BC37" i="9" a="1"/>
  <c r="AZ37" i="9" a="1"/>
  <c r="BB28" i="9" a="1"/>
  <c r="BY37" i="9" a="1"/>
  <c r="K40" i="9" a="1"/>
  <c r="T23" i="9" a="1"/>
  <c r="AP35" i="9" a="1"/>
  <c r="AI28" i="9" a="1"/>
  <c r="AU27" i="9" a="1"/>
  <c r="S29" i="9" a="1"/>
  <c r="BS23" i="9" a="1"/>
  <c r="J23" i="9" a="1"/>
  <c r="AP37" i="9" a="1"/>
  <c r="BF30" i="9" a="1"/>
  <c r="F37" i="9" a="1"/>
  <c r="AC20" i="9" a="1"/>
  <c r="AD32" i="9" a="1"/>
  <c r="AM21" i="9" a="1"/>
  <c r="CD23" i="9" a="1"/>
  <c r="K552" i="14"/>
  <c r="V30" i="9" a="1"/>
  <c r="CF33" i="9" a="1"/>
  <c r="BX22" i="9" a="1"/>
  <c r="BC36" i="9" a="1"/>
  <c r="P30" i="9" a="1"/>
  <c r="X39" i="9" a="1"/>
  <c r="AK38" i="9" a="1"/>
  <c r="AE36" i="9" a="1"/>
  <c r="BG39" i="9" a="1"/>
  <c r="AV40" i="9" a="1"/>
  <c r="BQ29" i="9" a="1"/>
  <c r="CL40" i="9" a="1"/>
  <c r="CL33" i="9" a="1"/>
  <c r="CP37" i="9" a="1"/>
  <c r="P38" i="9" a="1"/>
  <c r="BZ24" i="9" a="1"/>
  <c r="Y25" i="9" a="1"/>
  <c r="G35" i="9" a="1"/>
  <c r="H24" i="9" a="1"/>
  <c r="BY24" i="9" a="1"/>
  <c r="AM36" i="9" a="1"/>
  <c r="CR32" i="9" a="1"/>
  <c r="P25" i="9" a="1"/>
  <c r="BL34" i="9" a="1"/>
  <c r="AU22" i="9" a="1"/>
  <c r="V23" i="9" a="1"/>
  <c r="K33" i="9" a="1"/>
  <c r="AW30" i="9" a="1"/>
  <c r="F21" i="9" a="1"/>
  <c r="K1046" i="22"/>
  <c r="CQ37" i="9" a="1"/>
  <c r="CL30" i="9" a="1"/>
  <c r="K32" i="9" a="1"/>
  <c r="AH28" i="9" a="1"/>
  <c r="BY26" i="9" a="1"/>
  <c r="CO40" i="9" a="1"/>
  <c r="BU25" i="9" a="1"/>
  <c r="K29" i="9" a="1"/>
  <c r="CI27" i="9" a="1"/>
  <c r="M35" i="9" a="1"/>
  <c r="BK40" i="9" a="1"/>
  <c r="K1008" i="22"/>
  <c r="AH20" i="9" a="1"/>
  <c r="BR32" i="9" a="1"/>
  <c r="BR34" i="9" a="1"/>
  <c r="W20" i="9" a="1"/>
  <c r="AH25" i="9" a="1"/>
  <c r="AN20" i="9" a="1"/>
  <c r="BF31" i="9" a="1"/>
  <c r="BI34" i="9" a="1"/>
  <c r="BN26" i="9" a="1"/>
  <c r="F34" i="9" a="1"/>
  <c r="AH33" i="9" a="1"/>
  <c r="Z37" i="9" a="1"/>
  <c r="K210" i="5"/>
  <c r="CQ31" i="9" a="1"/>
  <c r="CR26" i="9" a="1"/>
  <c r="CH35" i="9" a="1"/>
  <c r="BV39" i="9" a="1"/>
  <c r="AT25" i="9" a="1"/>
  <c r="CQ27" i="9" a="1"/>
  <c r="E23" i="9" a="1"/>
  <c r="BK20" i="9" a="1"/>
  <c r="BE36" i="9" a="1"/>
  <c r="K20" i="13"/>
  <c r="BZ30" i="9" a="1"/>
  <c r="CO23" i="9" a="1"/>
  <c r="AC23" i="9" a="1"/>
  <c r="BU27" i="9" a="1"/>
  <c r="BF36" i="9" a="1"/>
  <c r="BA20" i="9" a="1"/>
  <c r="BZ37" i="9" a="1"/>
  <c r="CR28" i="9" a="1"/>
  <c r="CN34" i="9" a="1"/>
  <c r="L24" i="9" a="1"/>
  <c r="CG23" i="9" a="1"/>
  <c r="AT21" i="9" a="1"/>
  <c r="CR27" i="9" a="1"/>
  <c r="AE25" i="9" a="1"/>
  <c r="W32" i="9" a="1"/>
  <c r="CL37" i="9" a="1"/>
  <c r="CA29" i="9" a="1"/>
  <c r="CO31" i="9" a="1"/>
  <c r="AB24" i="9" a="1"/>
  <c r="Q39" i="9" a="1"/>
  <c r="G40" i="9" a="1"/>
  <c r="M37" i="9" a="1"/>
  <c r="BX21" i="9" a="1"/>
  <c r="BB21" i="9" a="1"/>
  <c r="BX32" i="9" a="1"/>
  <c r="CR33" i="9" a="1"/>
  <c r="CD27" i="9" a="1"/>
  <c r="U23" i="9" a="1"/>
  <c r="AY24" i="9" a="1"/>
  <c r="AS33" i="9" a="1"/>
  <c r="CI26" i="9" a="1"/>
  <c r="K628" i="14"/>
  <c r="Z30" i="9" a="1"/>
  <c r="R40" i="9" a="1"/>
  <c r="CO34" i="9" a="1"/>
  <c r="BK35" i="9" a="1"/>
  <c r="G27" i="9" a="1"/>
  <c r="M28" i="9" a="1"/>
  <c r="AC21" i="9" a="1"/>
  <c r="AJ37" i="9" a="1"/>
  <c r="BM22" i="9" a="1"/>
  <c r="CP22" i="9" a="1"/>
  <c r="AL23" i="9" a="1"/>
  <c r="BO22" i="9" a="1"/>
  <c r="BQ23" i="9" a="1"/>
  <c r="O20" i="9" a="1"/>
  <c r="L30" i="9" a="1"/>
  <c r="N20" i="9" a="1"/>
  <c r="BW26" i="9" a="1"/>
  <c r="F32" i="9" a="1"/>
  <c r="K58" i="13"/>
  <c r="BZ29" i="9" a="1"/>
  <c r="CR23" i="9" a="1"/>
  <c r="K1616" i="22"/>
  <c r="K210" i="15"/>
  <c r="BO39" i="9" a="1"/>
  <c r="M24" i="9" a="1"/>
  <c r="CH32" i="9" a="1"/>
  <c r="BJ21" i="9" a="1"/>
  <c r="CC34" i="9" a="1"/>
  <c r="CI28" i="9" a="1"/>
  <c r="AP28" i="9" a="1"/>
  <c r="BR40" i="9" a="1"/>
  <c r="BS24" i="9" a="1"/>
  <c r="F31" i="9" a="1"/>
  <c r="R37" i="9" a="1"/>
  <c r="AE20" i="9" a="1"/>
  <c r="CH33" i="9" a="1"/>
  <c r="O23" i="9" a="1"/>
  <c r="AX27" i="9" a="1"/>
  <c r="AI36" i="9" a="1"/>
  <c r="BW36" i="9" a="1"/>
  <c r="AD22" i="9" a="1"/>
  <c r="CK20" i="9" a="1"/>
  <c r="CF32" i="9" a="1"/>
  <c r="K1198" i="22"/>
  <c r="G31" i="9" a="1"/>
  <c r="BB24" i="9" a="1"/>
  <c r="CB37" i="9" a="1"/>
  <c r="CF26" i="9" a="1"/>
  <c r="CQ32" i="9" a="1"/>
  <c r="CO21" i="9" a="1"/>
  <c r="BW37" i="9" a="1"/>
  <c r="BC26" i="9" a="1"/>
  <c r="X23" i="9" a="1"/>
  <c r="BP23" i="9" a="1"/>
  <c r="P26" i="9" a="1"/>
  <c r="G32" i="9" a="1"/>
  <c r="CH21" i="9" a="1"/>
  <c r="BO21" i="9" a="1"/>
  <c r="CB25" i="9" a="1"/>
  <c r="F24" i="9" a="1"/>
  <c r="AX23" i="9" a="1"/>
  <c r="N23" i="9" a="1"/>
  <c r="CM32" i="9" a="1"/>
  <c r="CL26" i="9" a="1"/>
  <c r="BW31" i="9" a="1"/>
  <c r="E34" i="9" a="1"/>
  <c r="BT24" i="9" a="1"/>
  <c r="AQ25" i="9" a="1"/>
  <c r="N21" i="9" a="1"/>
  <c r="K96" i="14"/>
  <c r="CM30" i="9" a="1"/>
  <c r="H28" i="9" a="1"/>
  <c r="AP38" i="9" a="1"/>
  <c r="H27" i="9" a="1"/>
  <c r="BX40" i="9" a="1"/>
  <c r="CR29" i="9" a="1"/>
  <c r="CH37" i="9" a="1"/>
  <c r="Z24" i="9" a="1"/>
  <c r="BV32" i="9" a="1"/>
  <c r="AB35" i="9" a="1"/>
  <c r="AG29" i="9" a="1"/>
  <c r="AB25" i="9" a="1"/>
  <c r="U20" i="9" a="1"/>
  <c r="AG40" i="9" a="1"/>
  <c r="CL22" i="9" a="1"/>
  <c r="BV38" i="9" a="1"/>
  <c r="AW26" i="9" a="1"/>
  <c r="BE37" i="9" a="1"/>
  <c r="CL31" i="9" a="1"/>
  <c r="BC27" i="9" a="1"/>
  <c r="CA36" i="9" a="1"/>
  <c r="CN36" i="9" a="1"/>
  <c r="R25" i="9" a="1"/>
  <c r="BG34" i="9" a="1"/>
  <c r="CM20" i="9" a="1"/>
  <c r="O29" i="9" a="1"/>
  <c r="BH21" i="9" a="1"/>
  <c r="F25" i="9" a="1"/>
  <c r="AS32" i="9" a="1"/>
  <c r="BV28" i="9" a="1"/>
  <c r="CI38" i="9" a="1"/>
  <c r="AJ28" i="9" a="1"/>
  <c r="CN28" i="9" a="1"/>
  <c r="AO34" i="9" a="1"/>
  <c r="AJ29" i="9" a="1"/>
  <c r="CM40" i="9" a="1"/>
  <c r="R20" i="9" a="1"/>
  <c r="T20" i="9" a="1"/>
  <c r="BJ26" i="9" a="1"/>
  <c r="AR28" i="9" a="1"/>
  <c r="BV26" i="9" a="1"/>
  <c r="AJ22" i="9" a="1"/>
  <c r="BD21" i="9" a="1"/>
  <c r="V26" i="9" a="1"/>
  <c r="CH31" i="9" a="1"/>
  <c r="N33" i="9" a="1"/>
  <c r="CR25" i="9" a="1"/>
  <c r="AR38" i="9" a="1"/>
  <c r="AG26" i="9" a="1"/>
  <c r="CQ36" i="9" a="1"/>
  <c r="K1540" i="22"/>
  <c r="AQ20" i="9" a="1"/>
  <c r="AL33" i="9" a="1"/>
  <c r="I35" i="9" a="1"/>
  <c r="AH39" i="9" a="1"/>
  <c r="BI29" i="9" a="1"/>
  <c r="CM22" i="9" a="1"/>
  <c r="AI26" i="9" a="1"/>
  <c r="AC31" i="9" a="1"/>
  <c r="AJ32" i="9" a="1"/>
  <c r="CF34" i="9" a="1"/>
  <c r="CR38" i="9" a="1"/>
  <c r="BD31" i="9" a="1"/>
  <c r="BN20" i="9" a="1"/>
  <c r="AV23" i="9" a="1"/>
  <c r="BI22" i="9" a="1"/>
  <c r="AO38" i="9" a="1"/>
  <c r="BB39" i="9" a="1"/>
  <c r="AS26" i="9" a="1"/>
  <c r="CR34" i="9" a="1"/>
  <c r="BV20" i="9" a="1"/>
  <c r="AZ30" i="9" a="1"/>
  <c r="H33" i="9" a="1"/>
  <c r="BJ30" i="9" a="1"/>
  <c r="F20" i="9" a="1"/>
  <c r="AB30" i="9" a="1"/>
  <c r="CE27" i="9" a="1"/>
  <c r="AC28" i="9" a="1"/>
  <c r="BL21" i="9" a="1"/>
  <c r="K1160" i="22"/>
  <c r="BG37" i="9" a="1"/>
  <c r="BP32" i="9" a="1"/>
  <c r="Y38" i="9" a="1"/>
  <c r="S23" i="9" a="1"/>
  <c r="BG38" i="9" a="1"/>
  <c r="CC33" i="9" a="1"/>
  <c r="BR35" i="9" a="1"/>
  <c r="AY26" i="9" a="1"/>
  <c r="AG33" i="9" a="1"/>
  <c r="AB28" i="9" a="1"/>
  <c r="F33" i="9" a="1"/>
  <c r="K590" i="14"/>
  <c r="J29" i="9" a="1"/>
  <c r="CA38" i="9" a="1"/>
  <c r="AI37" i="9" a="1"/>
  <c r="Q24" i="9" a="1"/>
  <c r="AJ39" i="9" a="1"/>
  <c r="AK35" i="9" a="1"/>
  <c r="BY25" i="9" a="1"/>
  <c r="AI29" i="9" a="1"/>
  <c r="AE34" i="9" a="1"/>
  <c r="BX27" i="9" a="1"/>
  <c r="BL26" i="9" a="1"/>
  <c r="AC27" i="9" a="1"/>
  <c r="AH38" i="9" a="1"/>
  <c r="AG37" i="9" a="1"/>
  <c r="CP34" i="9" a="1"/>
  <c r="BU40" i="9" a="1"/>
  <c r="AX25" i="9" a="1"/>
  <c r="N22" i="9" a="1"/>
  <c r="AE31" i="9" a="1"/>
  <c r="CA24" i="9" a="1"/>
  <c r="O25" i="9" a="1"/>
  <c r="AG31" i="9" a="1"/>
  <c r="CI30" i="9" a="1"/>
  <c r="CD20" i="9" a="1"/>
  <c r="BS32" i="9" a="1"/>
  <c r="AP24" i="9" a="1"/>
  <c r="CA37" i="9" a="1"/>
  <c r="K31" i="9" a="1"/>
  <c r="K400" i="14"/>
  <c r="BF22" i="9" a="1"/>
  <c r="W30" i="9" a="1"/>
  <c r="CA22" i="9" a="1"/>
  <c r="K666" i="22"/>
  <c r="CL24" i="9" a="1"/>
  <c r="S38" i="9" a="1"/>
  <c r="K324" i="22"/>
  <c r="I25" i="9" a="1"/>
  <c r="U29" i="9" a="1"/>
  <c r="CN33" i="9" a="1"/>
  <c r="BL28" i="9" a="1"/>
  <c r="BL27" i="9" a="1"/>
  <c r="G20" i="9" a="1"/>
  <c r="AM33" i="9" a="1"/>
  <c r="CN39" i="9" a="1"/>
  <c r="CO36" i="9" a="1"/>
  <c r="AM34" i="9" a="1"/>
  <c r="BE27" i="9" a="1"/>
  <c r="BD38" i="9" a="1"/>
  <c r="I40" i="9" a="1"/>
  <c r="AU38" i="9" a="1"/>
  <c r="AL35" i="9" a="1"/>
  <c r="AY22" i="9" a="1"/>
  <c r="BI30" i="9" a="1"/>
  <c r="AH29" i="9" a="1"/>
  <c r="CD35" i="9" a="1"/>
  <c r="R29" i="9" a="1"/>
  <c r="W40" i="9" a="1"/>
  <c r="U32" i="9" a="1"/>
  <c r="X30" i="9" a="1"/>
  <c r="W22" i="9" a="1"/>
  <c r="BK22" i="9" a="1"/>
  <c r="CK23" i="9" a="1"/>
  <c r="J40" i="9" a="1"/>
  <c r="G22" i="9" a="1"/>
  <c r="BY35" i="9" a="1"/>
  <c r="AZ21" i="9" a="1"/>
  <c r="BH20" i="9" a="1"/>
  <c r="CG31" i="9" a="1"/>
  <c r="BJ23" i="9" a="1"/>
  <c r="BK34" i="9" a="1"/>
  <c r="BJ34" i="9" a="1"/>
  <c r="BG40" i="9" a="1"/>
  <c r="BH34" i="9" a="1"/>
  <c r="BO26" i="9" a="1"/>
  <c r="AF37" i="9" a="1"/>
  <c r="AV39" i="9" a="1"/>
  <c r="AV20" i="9" a="1"/>
  <c r="BT32" i="9" a="1"/>
  <c r="BT28" i="9" a="1"/>
  <c r="AC29" i="9" a="1"/>
  <c r="BA40" i="9" a="1"/>
  <c r="E31" i="9" a="1"/>
  <c r="AE29" i="9" a="1"/>
  <c r="V35" i="9" a="1"/>
  <c r="AR26" i="9" a="1"/>
  <c r="V32" i="9" a="1"/>
  <c r="AG35" i="9" a="1"/>
  <c r="AU29" i="9" a="1"/>
  <c r="S35" i="9" a="1"/>
  <c r="AW34" i="9" a="1"/>
  <c r="K35" i="9" a="1"/>
  <c r="CO22" i="9" a="1"/>
  <c r="BO31" i="9" a="1"/>
  <c r="AD30" i="9" a="1"/>
  <c r="I31" i="9" a="1"/>
  <c r="V29" i="9" a="1"/>
  <c r="K628" i="22"/>
  <c r="CQ22" i="9" a="1"/>
  <c r="K1464" i="22"/>
  <c r="BN27" i="9" a="1"/>
  <c r="AP27" i="9" a="1"/>
  <c r="R38" i="9" a="1"/>
  <c r="BJ24" i="9" a="1"/>
  <c r="BL29" i="9" a="1"/>
  <c r="U26" i="9" a="1"/>
  <c r="CM39" i="9" a="1"/>
  <c r="AY21" i="9" a="1"/>
  <c r="AF33" i="9" a="1"/>
  <c r="AD20" i="9" a="1"/>
  <c r="BM34" i="9" a="1"/>
  <c r="AK24" i="9" a="1"/>
  <c r="CK38" i="9" a="1"/>
  <c r="BL20" i="9" a="1"/>
  <c r="BI23" i="9" a="1"/>
  <c r="BL33" i="9" a="1"/>
  <c r="CF24" i="9" a="1"/>
  <c r="M32" i="9" a="1"/>
  <c r="CK27" i="9" a="1"/>
  <c r="CQ38" i="9" a="1"/>
  <c r="AR27" i="9" a="1"/>
  <c r="H30" i="9" a="1"/>
  <c r="CJ21" i="9" a="1"/>
  <c r="CI20" i="9" a="1"/>
  <c r="CN21" i="9" a="1"/>
  <c r="CJ30" i="9" a="1"/>
  <c r="BR24" i="9" a="1"/>
  <c r="S34" i="9" a="1"/>
  <c r="V37" i="9" a="1"/>
  <c r="BA31" i="9" a="1"/>
  <c r="CR22" i="9" a="1"/>
  <c r="AT40" i="9" a="1"/>
  <c r="AX40" i="9" a="1"/>
  <c r="CR31" i="9" a="1"/>
  <c r="BU34" i="9" a="1"/>
  <c r="BY36" i="9" a="1"/>
  <c r="AF23" i="9" a="1"/>
  <c r="BH29" i="9" a="1"/>
  <c r="N29" i="9" a="1"/>
  <c r="AR25" i="9" a="1"/>
  <c r="AL39" i="9" a="1"/>
  <c r="BB32" i="9" a="1"/>
  <c r="K476" i="14"/>
  <c r="K34" i="9" a="1"/>
  <c r="BG32" i="9" a="1"/>
  <c r="AF27" i="9" a="1"/>
  <c r="CP27" i="9" a="1"/>
  <c r="K514" i="14"/>
  <c r="AN40" i="9" a="1"/>
  <c r="AY29" i="9" a="1"/>
  <c r="R35" i="9" a="1"/>
  <c r="Y20" i="9" a="1"/>
  <c r="CF21" i="9" a="1"/>
  <c r="Q37" i="9" a="1"/>
  <c r="J28" i="9" a="1"/>
  <c r="L25" i="9" a="1"/>
  <c r="AV34" i="9" a="1"/>
  <c r="K21" i="9" a="1"/>
  <c r="J34" i="9" a="1"/>
  <c r="AW38" i="9" a="1"/>
  <c r="BK31" i="9" a="1"/>
  <c r="AM22" i="9" a="1"/>
  <c r="BZ26" i="9" a="1"/>
  <c r="AN24" i="9" a="1"/>
  <c r="CB21" i="9" a="1"/>
  <c r="BB20" i="9" a="1"/>
  <c r="M33" i="9" a="1"/>
  <c r="BT26" i="9" a="1"/>
  <c r="CI22" i="9" a="1"/>
  <c r="AS24" i="9" a="1"/>
  <c r="BS38" i="9" a="1"/>
  <c r="Y35" i="9" a="1"/>
  <c r="BB38" i="9" a="1"/>
  <c r="BX24" i="9" a="1"/>
  <c r="AG25" i="9" a="1"/>
  <c r="CJ26" i="9" a="1"/>
  <c r="AQ31" i="9" a="1"/>
  <c r="BS30" i="9" a="1"/>
  <c r="AP39" i="9" a="1"/>
  <c r="BU30" i="9" a="1"/>
  <c r="R23" i="9" a="1"/>
  <c r="T37" i="9" a="1"/>
  <c r="R34" i="9" a="1"/>
  <c r="BV40" i="9" a="1"/>
  <c r="BX31" i="9" a="1"/>
  <c r="AW36" i="9" a="1"/>
  <c r="CD21" i="9" a="1"/>
  <c r="BD20" i="9" a="1"/>
  <c r="BD37" i="9" a="1"/>
  <c r="AM26" i="9" a="1"/>
  <c r="BQ35" i="9" a="1"/>
  <c r="CJ25" i="9" a="1"/>
  <c r="AG30" i="9" a="1"/>
  <c r="AJ31" i="9" a="1"/>
  <c r="BM32" i="9" a="1"/>
  <c r="CE31" i="9" a="1"/>
  <c r="AN37" i="9" a="1"/>
  <c r="AQ36" i="9" a="1"/>
  <c r="AY37" i="9" a="1"/>
  <c r="AU30" i="9" a="1"/>
  <c r="CQ34" i="9" a="1"/>
  <c r="BK24" i="9" a="1"/>
  <c r="BK26" i="9" a="1"/>
  <c r="BD25" i="9" a="1"/>
  <c r="CI34" i="9" a="1"/>
  <c r="AM27" i="9" a="1"/>
  <c r="S26" i="9" a="1"/>
  <c r="BL37" i="9" a="1"/>
  <c r="AF35" i="9" a="1"/>
  <c r="AB31" i="9" a="1"/>
  <c r="AU21" i="9" a="1"/>
  <c r="E29" i="9" a="1"/>
  <c r="AK29" i="9" a="1"/>
  <c r="AQ23" i="9" a="1"/>
  <c r="K970" i="22"/>
  <c r="BM21" i="9" a="1"/>
  <c r="BP25" i="9" a="1"/>
  <c r="BZ34" i="9" a="1"/>
  <c r="BO40" i="9" a="1"/>
  <c r="AC35" i="9" a="1"/>
  <c r="CK37" i="9" a="1"/>
  <c r="CJ23" i="9" a="1"/>
  <c r="R24" i="9" a="1"/>
  <c r="BT25" i="9" a="1"/>
  <c r="BM33" i="9" a="1"/>
  <c r="AV30" i="9" a="1"/>
  <c r="CD39" i="9" a="1"/>
  <c r="CD33" i="9" a="1"/>
  <c r="CG21" i="9" a="1"/>
  <c r="BV22" i="9" a="1"/>
  <c r="BP29" i="9" a="1"/>
  <c r="BB37" i="9" a="1"/>
  <c r="BI20" i="9" a="1"/>
  <c r="G33" i="9" a="1"/>
  <c r="AZ38" i="9" a="1"/>
  <c r="CE20" i="9" a="1"/>
  <c r="J33" i="9" a="1"/>
  <c r="CL23" i="9" a="1"/>
  <c r="BI38" i="9" a="1"/>
  <c r="BN35" i="9" a="1"/>
  <c r="AD37" i="9" a="1"/>
  <c r="CF38" i="9" a="1"/>
  <c r="BN30" i="9" a="1"/>
  <c r="CR35" i="9" a="1"/>
  <c r="Q27" i="9" a="1"/>
  <c r="CR21" i="9" a="1"/>
  <c r="K248" i="22"/>
  <c r="CD38" i="9" a="1"/>
  <c r="AZ20" i="9" a="1"/>
  <c r="Z28" i="9" a="1"/>
  <c r="BZ31" i="9" a="1"/>
  <c r="CD31" i="9" a="1"/>
  <c r="CL25" i="9" a="1"/>
  <c r="AF38" i="9" a="1"/>
  <c r="O32" i="9" a="1"/>
  <c r="CG26" i="9" a="1"/>
  <c r="BO24" i="9" a="1"/>
  <c r="E28" i="9" a="1"/>
  <c r="CE34" i="9" a="1"/>
  <c r="BT22" i="9" a="1"/>
  <c r="K400" i="22"/>
  <c r="AR23" i="9" a="1"/>
  <c r="BT38" i="9" a="1"/>
  <c r="BA28" i="9" a="1"/>
  <c r="AX30" i="9" a="1"/>
  <c r="L38" i="9" a="1"/>
  <c r="BB36" i="9" a="1"/>
  <c r="BW28" i="9" a="1"/>
  <c r="BV27" i="9" a="1"/>
  <c r="X34" i="9" a="1"/>
  <c r="CJ31" i="9" a="1"/>
  <c r="AR40" i="9" a="1"/>
  <c r="AR36" i="9" a="1"/>
  <c r="AK31" i="9" a="1"/>
  <c r="V36" i="9" a="1"/>
  <c r="CC20" i="9" a="1"/>
  <c r="CI40" i="9" a="1"/>
  <c r="BE29" i="9" a="1"/>
  <c r="AK34" i="9" a="1"/>
  <c r="BM37" i="9" a="1"/>
  <c r="AJ33" i="9" a="1"/>
  <c r="BQ27" i="9" a="1"/>
  <c r="AW22" i="9" a="1"/>
  <c r="K932" i="22"/>
  <c r="BD29" i="9" a="1"/>
  <c r="AL20" i="9" a="1"/>
  <c r="AX28" i="9" a="1"/>
  <c r="BY34" i="9" a="1"/>
  <c r="AD27" i="9" a="1"/>
  <c r="T25" i="9" a="1"/>
  <c r="CM26" i="9" a="1"/>
  <c r="CD30" i="9" a="1"/>
  <c r="BJ33" i="9" a="1"/>
  <c r="BW33" i="9" a="1"/>
  <c r="AN32" i="9" a="1"/>
  <c r="I28" i="9" a="1"/>
  <c r="CQ25" i="9" a="1"/>
  <c r="AY25" i="9" a="1"/>
  <c r="AJ38" i="9" a="1"/>
  <c r="CP36" i="9" a="1"/>
  <c r="BR22" i="9" a="1"/>
  <c r="BK28" i="9" a="1"/>
  <c r="BI24" i="9" a="1"/>
  <c r="CM36" i="9" a="1"/>
  <c r="CM31" i="9" a="1"/>
  <c r="AA33" i="9" a="1"/>
  <c r="O31" i="9" a="1"/>
  <c r="AC32" i="9" a="1"/>
  <c r="O28" i="9" a="1"/>
  <c r="BP28" i="9" a="1"/>
  <c r="BH33" i="9" a="1"/>
  <c r="BD27" i="9" a="1"/>
  <c r="AQ32" i="9" a="1"/>
  <c r="CN40" i="9" a="1"/>
  <c r="AT26" i="9" a="1"/>
  <c r="K1692" i="22"/>
  <c r="X27" i="9" a="1"/>
  <c r="BF25" i="9" a="1"/>
  <c r="AL36" i="9" a="1"/>
  <c r="CJ39" i="9" a="1"/>
  <c r="Q32" i="9" a="1"/>
  <c r="AS23" i="9" a="1"/>
  <c r="S37" i="9" a="1"/>
  <c r="BI36" i="9" a="1"/>
  <c r="J20" i="9" a="1"/>
  <c r="BU32" i="9" a="1"/>
  <c r="CL35" i="9" a="1"/>
  <c r="AF26" i="9" a="1"/>
  <c r="E38" i="9" a="1"/>
  <c r="BT37" i="9" a="1"/>
  <c r="CO38" i="9" a="1"/>
  <c r="X36" i="9" a="1"/>
  <c r="AD26" i="9" a="1"/>
  <c r="K1768" i="22"/>
  <c r="I27" i="9" a="1"/>
  <c r="CA34" i="9" a="1"/>
  <c r="BQ26" i="9" a="1"/>
  <c r="AK26" i="9" a="1"/>
  <c r="AF30" i="9" a="1"/>
  <c r="AK33" i="9" a="1"/>
  <c r="K1312" i="22"/>
  <c r="AX32" i="9" a="1"/>
  <c r="CE25" i="9" a="1"/>
  <c r="AX35" i="9" a="1"/>
  <c r="BC24" i="9" a="1"/>
  <c r="K286" i="15"/>
  <c r="BA37" i="9" a="1"/>
  <c r="AA39" i="9" a="1"/>
  <c r="CE23" i="9" a="1"/>
  <c r="X33" i="9" a="1"/>
  <c r="CB22" i="9" a="1"/>
  <c r="CC26" i="9" a="1"/>
  <c r="CH28" i="9" a="1"/>
  <c r="BX26" i="9" a="1"/>
  <c r="T28" i="9" a="1"/>
  <c r="S27" i="9" a="1"/>
  <c r="AK27" i="9" a="1"/>
  <c r="CN20" i="9" a="1"/>
  <c r="BB40" i="9" a="1"/>
  <c r="BC34" i="9" a="1"/>
  <c r="AE28" i="9" a="1"/>
  <c r="CA31" i="9" a="1"/>
  <c r="CN29" i="9" a="1"/>
  <c r="K1122" i="22"/>
  <c r="BU38" i="9" a="1"/>
  <c r="K172" i="18"/>
  <c r="CK29" i="9" a="1"/>
  <c r="E22" i="9" a="1"/>
  <c r="CA27" i="9" a="1"/>
  <c r="BC25" i="9" a="1"/>
  <c r="AB33" i="9" a="1"/>
  <c r="AQ37" i="9" a="1"/>
  <c r="U22" i="9" a="1"/>
  <c r="AN30" i="9" a="1"/>
  <c r="G37" i="9" a="1"/>
  <c r="AV25" i="9" a="1"/>
  <c r="BX29" i="9" a="1"/>
  <c r="AT24" i="9" a="1"/>
  <c r="K58" i="22"/>
  <c r="CQ29" i="9" a="1"/>
  <c r="L40" i="9" a="1"/>
  <c r="AJ23" i="9" a="1"/>
  <c r="BO35" i="9" a="1"/>
  <c r="BM27" i="9" a="1"/>
  <c r="AB38" i="9" a="1"/>
  <c r="AY34" i="9" a="1"/>
  <c r="K438" i="22"/>
  <c r="E32" i="9" a="1"/>
  <c r="CG24" i="9" a="1"/>
  <c r="CD22" i="9" a="1"/>
  <c r="CD40" i="9" a="1"/>
  <c r="AS25" i="9" a="1"/>
  <c r="Z21" i="9" a="1"/>
  <c r="H37" i="9" a="1"/>
  <c r="W35" i="9" a="1"/>
  <c r="AF21" i="9" a="1"/>
  <c r="AC37" i="9" a="1"/>
  <c r="BT33" i="9" a="1"/>
  <c r="CF20" i="9" a="1"/>
  <c r="I26" i="9" a="1"/>
  <c r="BQ30" i="9" a="1"/>
  <c r="BA33" i="9" a="1"/>
  <c r="AH27" i="9" a="1"/>
  <c r="AB27" i="9" a="1"/>
  <c r="BG25" i="9" a="1"/>
  <c r="BT20" i="9" a="1"/>
  <c r="AM20" i="9" a="1"/>
  <c r="BX39" i="9" a="1"/>
  <c r="AC33" i="9" a="1"/>
  <c r="BP27" i="9" a="1"/>
  <c r="AP32" i="9" a="1"/>
  <c r="O35" i="9" a="1"/>
  <c r="CF29" i="9" a="1"/>
  <c r="BZ23" i="9" a="1"/>
  <c r="CM28" i="9" a="1"/>
  <c r="P40" i="9" a="1"/>
  <c r="AE35" i="9" a="1"/>
  <c r="R26" i="9" a="1"/>
  <c r="CG32" i="9" a="1"/>
  <c r="BS28" i="9" a="1"/>
  <c r="AA25" i="9" a="1"/>
  <c r="BW24" i="9" a="1"/>
  <c r="BU35" i="9" a="1"/>
  <c r="AU26" i="9" a="1"/>
  <c r="CB34" i="9" a="1"/>
  <c r="BV37" i="9" a="1"/>
  <c r="AX38" i="9" a="1"/>
  <c r="CC37" i="9" a="1"/>
  <c r="BW29" i="9" a="1"/>
  <c r="AU35" i="9" a="1"/>
  <c r="AY36" i="9" a="1"/>
  <c r="Q25" i="9" a="1"/>
  <c r="BU26" i="9" a="1"/>
  <c r="AI38" i="9" a="1"/>
  <c r="AY40" i="9" a="1"/>
  <c r="AJ30" i="9" a="1"/>
  <c r="AC24" i="9" a="1"/>
  <c r="BP26" i="9" a="1"/>
  <c r="AR35" i="9" a="1"/>
  <c r="CJ32" i="9" a="1"/>
  <c r="P31" i="9" a="1"/>
  <c r="BQ28" i="9" a="1"/>
  <c r="L32" i="9" a="1"/>
  <c r="BZ39" i="9" a="1"/>
  <c r="F30" i="9" a="1"/>
  <c r="CI39" i="9" a="1"/>
  <c r="G38" i="9" a="1"/>
  <c r="BH32" i="9" a="1"/>
  <c r="BR29" i="9" a="1"/>
  <c r="AM25" i="9" a="1"/>
  <c r="AS28" i="9" a="1"/>
  <c r="AB32" i="9" a="1"/>
  <c r="BE33" i="9" a="1"/>
  <c r="W37" i="9" a="1"/>
  <c r="F29" i="9" a="1"/>
  <c r="AU33" i="9" a="1"/>
  <c r="AP26" i="9" a="1"/>
  <c r="AH37" i="9" a="1"/>
  <c r="AF25" i="9" a="1"/>
  <c r="BF32" i="9" a="1"/>
  <c r="W31" i="9" a="1"/>
  <c r="AM31" i="9" a="1"/>
  <c r="AY27" i="9" a="1"/>
  <c r="K514" i="22"/>
  <c r="BE31" i="9" a="1"/>
  <c r="BF26" i="9" a="1"/>
  <c r="AM29" i="9" a="1"/>
  <c r="BW25" i="9" a="1"/>
  <c r="CC30" i="9" a="1"/>
  <c r="BZ27" i="9" a="1"/>
  <c r="CN32" i="9" a="1"/>
  <c r="AA20" i="9" a="1"/>
  <c r="CG35" i="9" a="1"/>
  <c r="BP37" i="9" a="1"/>
  <c r="Y24" i="9" a="1"/>
  <c r="Y27" i="9" a="1"/>
  <c r="AA28" i="9" a="1"/>
  <c r="CJ34" i="9" a="1"/>
  <c r="P27" i="9" a="1"/>
  <c r="AJ35" i="9" a="1"/>
  <c r="BF27" i="9" a="1"/>
  <c r="K20" i="5"/>
  <c r="X32" i="9" a="1"/>
  <c r="K20" i="14"/>
  <c r="Y23" i="9" a="1"/>
  <c r="U33" i="9" a="1"/>
  <c r="K248" i="14"/>
  <c r="BM35" i="9" a="1"/>
  <c r="AA21" i="9" a="1"/>
  <c r="M29" i="9" a="1"/>
  <c r="O26" i="9" a="1"/>
  <c r="BM30" i="9" a="1"/>
  <c r="BO37" i="9" a="1"/>
  <c r="BT35" i="9" a="1"/>
  <c r="CJ29" i="9" a="1"/>
  <c r="BF24" i="9" a="1"/>
  <c r="CA26" i="9" a="1"/>
  <c r="CK32" i="9" a="1"/>
  <c r="AH35" i="9" a="1"/>
  <c r="CP23" i="9" a="1"/>
  <c r="CO25" i="9" a="1"/>
  <c r="CA23" i="9" a="1"/>
  <c r="K856" i="22"/>
  <c r="BF21" i="9" a="1"/>
  <c r="BG31" i="9" a="1"/>
  <c r="BW23" i="9" a="1"/>
  <c r="BY38" i="9" a="1"/>
  <c r="BK27" i="9" a="1"/>
  <c r="CG29" i="9" a="1"/>
  <c r="BL30" i="9" a="1"/>
  <c r="W28" i="9" a="1"/>
  <c r="K96" i="22"/>
  <c r="W39" i="9" a="1"/>
  <c r="BC38" i="9" a="1"/>
  <c r="AW27" i="9" a="1"/>
  <c r="Y28" i="9" a="1"/>
  <c r="S39" i="9" a="1"/>
  <c r="CP26" i="9" a="1"/>
  <c r="AW21" i="9" a="1"/>
  <c r="E36" i="9" a="1"/>
  <c r="CO28" i="9" a="1"/>
  <c r="BT39" i="9" a="1"/>
  <c r="Z29" i="9" a="1"/>
  <c r="AL28" i="9" a="1"/>
  <c r="BC20" i="9" a="1"/>
  <c r="BC32" i="9" a="1"/>
  <c r="N35" i="9" a="1"/>
  <c r="AI30" i="9" a="1"/>
  <c r="CJ37" i="9" a="1"/>
  <c r="AR22" i="9" a="1"/>
  <c r="CJ24" i="9" a="1"/>
  <c r="BY23" i="9" a="1"/>
  <c r="AZ35" i="9" a="1"/>
  <c r="T26" i="9" a="1"/>
  <c r="E21" i="9" a="1"/>
  <c r="AS37" i="9" a="1"/>
  <c r="BI26" i="9" a="1"/>
  <c r="BJ36" i="9" a="1"/>
  <c r="N32" i="9" a="1"/>
  <c r="BV36" i="9" a="1"/>
  <c r="BV33" i="9" a="1"/>
  <c r="AV21" i="9" a="1"/>
  <c r="AE26" i="9" a="1"/>
  <c r="BW20" i="9" a="1"/>
  <c r="Q34" i="9" a="1"/>
  <c r="BF38" i="9" a="1"/>
  <c r="BA34" i="9" a="1"/>
  <c r="CA21" i="9" a="1"/>
  <c r="L20" i="9" a="1"/>
  <c r="CP39" i="9" a="1"/>
  <c r="CR36" i="9" a="1"/>
  <c r="AQ24" i="9" a="1"/>
  <c r="I29" i="9" a="1"/>
  <c r="CR30" i="9" a="1"/>
  <c r="M25" i="9" a="1"/>
  <c r="CE22" i="9" a="1"/>
  <c r="AE40" i="9" a="1"/>
  <c r="BR25" i="9" a="1"/>
  <c r="AY23" i="9" a="1"/>
  <c r="AD28" i="9" a="1"/>
  <c r="W34" i="9" a="1"/>
  <c r="BS33" i="9" a="1"/>
  <c r="BJ35" i="9" a="1"/>
  <c r="CN27" i="9" a="1"/>
  <c r="E26" i="9" a="1"/>
  <c r="K36" i="9" a="1"/>
  <c r="CQ20" i="9" a="1"/>
  <c r="M27" i="9" a="1"/>
  <c r="AX39" i="9" a="1"/>
  <c r="U37" i="9" a="1"/>
  <c r="BH40" i="9" a="1"/>
  <c r="N31" i="9" a="1"/>
  <c r="K1388" i="22"/>
  <c r="AG28" i="9" a="1"/>
  <c r="CQ24" i="9" a="1"/>
  <c r="K27" i="9" a="1"/>
  <c r="CB31" i="9" a="1"/>
  <c r="CI36" i="9" a="1"/>
  <c r="CK39" i="9" a="1"/>
  <c r="AK28" i="9" a="1"/>
  <c r="BF23" i="9" a="1"/>
  <c r="BV30" i="9" a="1"/>
  <c r="F35" i="9" a="1"/>
  <c r="K818" i="22"/>
  <c r="I22" i="9" a="1"/>
  <c r="M34" i="9" a="1"/>
  <c r="AT28" i="9" a="1"/>
  <c r="BE38" i="9" a="1"/>
  <c r="AW35" i="9" a="1"/>
  <c r="BZ28" i="9" a="1"/>
  <c r="AS39" i="9" a="1"/>
  <c r="BZ38" i="9" a="1"/>
  <c r="AR39" i="9" a="1"/>
  <c r="AX34" i="9" a="1"/>
  <c r="CH34" i="9" a="1"/>
  <c r="BK30" i="9" a="1"/>
  <c r="K172" i="15"/>
  <c r="K25" i="9" a="1"/>
  <c r="P24" i="9" a="1"/>
  <c r="AT32" i="9" a="1"/>
  <c r="G30" i="9" a="1"/>
  <c r="AN22" i="9" a="1"/>
  <c r="Q22" i="9" a="1"/>
  <c r="AS31" i="9" a="1"/>
  <c r="CJ38" i="9" a="1"/>
  <c r="AR20" i="9" a="1"/>
  <c r="CO35" i="9" a="1"/>
  <c r="BB30" i="9" a="1"/>
  <c r="AA23" i="9" a="1"/>
  <c r="CO29" i="9" a="1"/>
  <c r="AL27" i="9" a="1"/>
  <c r="T31" i="9" a="1"/>
  <c r="BC29" i="9" a="1"/>
  <c r="M21" i="9" a="1"/>
  <c r="BY20" i="9" a="1"/>
  <c r="H39" i="9" a="1"/>
  <c r="AH21" i="9" a="1"/>
  <c r="BL36" i="9" a="1"/>
  <c r="BE21" i="9" a="1"/>
  <c r="BA24" i="9" a="1"/>
  <c r="R32" i="9" a="1"/>
  <c r="BY32" i="9" a="1"/>
  <c r="CM33" i="9" a="1"/>
  <c r="E30" i="9" a="1"/>
  <c r="BB22" i="9" a="1"/>
  <c r="AK32" i="9" a="1"/>
  <c r="BB27" i="9" a="1"/>
  <c r="BK39" i="9" a="1"/>
  <c r="AB39" i="9" a="1"/>
  <c r="U27" i="9" a="1"/>
  <c r="BW27" i="9" a="1"/>
  <c r="BV35" i="9" a="1"/>
  <c r="AP34" i="9" a="1"/>
  <c r="BT29" i="9" a="1"/>
  <c r="BN39" i="9" a="1"/>
  <c r="CB20" i="9" a="1"/>
  <c r="L23" i="9" a="1"/>
  <c r="BQ25" i="9" a="1"/>
  <c r="R31" i="9" a="1"/>
  <c r="AS36" i="9" a="1"/>
  <c r="V20" i="9" a="1"/>
  <c r="CF30" i="9" a="1"/>
  <c r="BP30" i="9" a="1"/>
  <c r="AK30" i="9" a="1"/>
  <c r="BI27" i="9" a="1"/>
  <c r="BX28" i="9" a="1"/>
  <c r="W29" i="9" a="1"/>
  <c r="BF35" i="9" a="1"/>
  <c r="Q38" i="9" a="1"/>
  <c r="CL29" i="9" a="1"/>
  <c r="BS26" i="9" a="1"/>
  <c r="AK20" i="9" a="1"/>
  <c r="T38" i="9" a="1"/>
  <c r="BK38" i="9" a="1"/>
  <c r="CD25" i="9" a="1"/>
  <c r="V34" i="9" a="1"/>
  <c r="P39" i="9" a="1"/>
  <c r="CN35" i="9" a="1"/>
  <c r="AL31" i="9" a="1"/>
  <c r="BZ40" i="9" a="1"/>
  <c r="AC25" i="9" a="1"/>
  <c r="BK37" i="9" a="1"/>
  <c r="BZ32" i="9" a="1"/>
  <c r="BN21" i="9" a="1"/>
  <c r="BW32" i="9" a="1"/>
  <c r="K1730" i="22"/>
  <c r="AR32" i="9" a="1"/>
  <c r="BC30" i="9" a="1"/>
  <c r="CK36" i="9" a="1"/>
  <c r="AS21" i="9" a="1"/>
  <c r="M38" i="9" a="1"/>
  <c r="J32" i="9" a="1"/>
  <c r="AG38" i="9" a="1"/>
  <c r="AI34" i="9" a="1"/>
  <c r="L21" i="9" a="1"/>
  <c r="K37" i="9" a="1"/>
  <c r="U34" i="9" a="1"/>
  <c r="I37" i="9" a="1"/>
  <c r="CO24" i="9" a="1"/>
  <c r="Q26" i="9" a="1"/>
  <c r="AD24" i="9" a="1"/>
  <c r="AE32" i="9" a="1"/>
  <c r="CF23" i="9" a="1"/>
  <c r="BV31" i="9" a="1"/>
  <c r="K894" i="22"/>
  <c r="BH39" i="9" a="1"/>
  <c r="CO37" i="9" a="1"/>
  <c r="BS29" i="9" a="1"/>
  <c r="CK24" i="9" a="1"/>
  <c r="AM30" i="9" a="1"/>
  <c r="AB34" i="9" a="1"/>
  <c r="CP29" i="9" a="1"/>
  <c r="Q20" i="9" a="1"/>
  <c r="Y29" i="9" a="1"/>
  <c r="AN29" i="9" a="1"/>
  <c r="CB39" i="9" a="1"/>
  <c r="K666" i="14"/>
  <c r="R33" i="9" a="1"/>
  <c r="CC24" i="9" a="1"/>
  <c r="Q23" i="9" a="1"/>
  <c r="AZ22" i="9" a="1"/>
  <c r="AU23" i="9" a="1"/>
  <c r="AL22" i="9" a="1"/>
  <c r="BY39" i="9" a="1"/>
  <c r="AD33" i="9" a="1"/>
  <c r="K96" i="5"/>
  <c r="CD32" i="9" a="1"/>
  <c r="BU37" i="9" a="1"/>
  <c r="AA26" i="9" a="1"/>
  <c r="BG26" i="9" a="1"/>
  <c r="N26" i="9" a="1"/>
  <c r="CC36" i="9" a="1"/>
  <c r="S36" i="9" a="1"/>
  <c r="X31" i="9" a="1"/>
  <c r="AE24" i="9" a="1"/>
  <c r="BA22" i="9" a="1"/>
  <c r="AU39" i="9" a="1"/>
  <c r="CK21" i="9" a="1"/>
  <c r="AM39" i="9" a="1"/>
  <c r="CQ33" i="9" a="1"/>
  <c r="I34" i="9" a="1"/>
  <c r="AZ33" i="9" a="1"/>
  <c r="CF31" i="9" a="1"/>
  <c r="BZ21" i="9" a="1"/>
  <c r="CL38" i="9" a="1"/>
  <c r="BL38" i="9" a="1"/>
  <c r="V31" i="9" a="1"/>
  <c r="CG25" i="9" a="1"/>
  <c r="AU40" i="9" a="1"/>
  <c r="AL24" i="9" a="1"/>
  <c r="BA30" i="9" a="1"/>
  <c r="BT36" i="9" a="1"/>
  <c r="K362" i="14"/>
  <c r="E20" i="9" a="1"/>
  <c r="AV31" i="9" a="1"/>
  <c r="K172" i="5"/>
  <c r="AJ26" i="9" a="1"/>
  <c r="CE30" i="9" a="1"/>
  <c r="BL40" i="9" a="1"/>
  <c r="J30" i="9" a="1"/>
  <c r="BS36" i="9" a="1"/>
  <c r="K134" i="5"/>
  <c r="CL39" i="9" a="1"/>
  <c r="AD36" i="9" a="1"/>
  <c r="X22" i="9" a="1"/>
  <c r="CA30" i="9" a="1"/>
  <c r="AC30" i="9" a="1"/>
  <c r="AC40" i="9" a="1"/>
  <c r="CN23" i="9" a="1"/>
  <c r="BS34" i="9" a="1"/>
  <c r="P20" i="9" a="1"/>
  <c r="S25" i="9" a="1"/>
  <c r="O36" i="9" a="1"/>
  <c r="BC35" i="9" a="1"/>
  <c r="Y36" i="9" a="1"/>
  <c r="G23" i="9" a="1"/>
  <c r="AQ38" i="9" a="1"/>
  <c r="F38" i="9" a="1"/>
  <c r="Z25" i="9" a="1"/>
  <c r="BY29" i="9" a="1"/>
  <c r="AX29" i="9" a="1"/>
  <c r="BN38" i="9" a="1"/>
  <c r="J26" i="9" a="1"/>
  <c r="BA25" i="9" a="1"/>
  <c r="BH30" i="9" a="1"/>
  <c r="BW35" i="9" a="1"/>
  <c r="K20" i="9" a="1"/>
  <c r="CK31" i="9" a="1"/>
  <c r="BH36" i="9" a="1"/>
  <c r="BN22" i="9" a="1"/>
  <c r="AI24" i="9" a="1"/>
  <c r="F27" i="9" a="1"/>
  <c r="AF20" i="9" a="1"/>
  <c r="K438" i="14"/>
  <c r="CC31" i="9" a="1"/>
  <c r="AB20" i="9" a="1"/>
  <c r="T30" i="9" a="1"/>
  <c r="O21" i="9" a="1"/>
  <c r="I32" i="9" a="1"/>
  <c r="AA32" i="9" a="1"/>
  <c r="I36" i="9" a="1"/>
  <c r="AC34" i="9" a="1"/>
  <c r="U21" i="9" a="1"/>
  <c r="BO30" i="9" a="1"/>
  <c r="CB29" i="9" a="1"/>
  <c r="BE28" i="9" a="1"/>
  <c r="X20" i="9" a="1"/>
  <c r="BC28" i="9" a="1"/>
  <c r="CM34" i="9" a="1"/>
  <c r="Z35" i="9" a="1"/>
  <c r="AQ29" i="9" a="1"/>
  <c r="BX30" i="9" a="1"/>
  <c r="CB24" i="9" a="1"/>
  <c r="AK25" i="9" a="1"/>
  <c r="CM23" i="9" a="1"/>
  <c r="K286" i="14"/>
  <c r="AD39" i="9" a="1"/>
  <c r="CH26" i="9" a="1"/>
  <c r="CM37" i="9" a="1"/>
  <c r="BS22" i="9" a="1"/>
  <c r="BP35" i="9" a="1"/>
  <c r="CO30" i="9" a="1"/>
  <c r="H36" i="9" a="1"/>
  <c r="CE33" i="9" a="1"/>
  <c r="CD29" i="9" a="1"/>
  <c r="G21" i="9" a="1"/>
  <c r="L27" i="9" a="1"/>
  <c r="R27" i="9" a="1"/>
  <c r="CQ28" i="9" a="1"/>
  <c r="G24" i="9" a="1"/>
  <c r="W25" i="9" a="1"/>
  <c r="Q30" i="9" a="1"/>
  <c r="K248" i="15"/>
  <c r="V39" i="9" a="1"/>
  <c r="AF36" i="9" a="1"/>
  <c r="CA39" i="9" a="1"/>
  <c r="N37" i="9" a="1"/>
  <c r="CP28" i="9" a="1"/>
  <c r="AJ36" i="9" a="1"/>
  <c r="H20" i="9" a="1"/>
  <c r="BK33" i="9" a="1"/>
  <c r="AT33" i="9" a="1"/>
  <c r="K58" i="15"/>
  <c r="BE20" i="9" a="1"/>
  <c r="BV29" i="9" a="1"/>
  <c r="CF35" i="9" a="1"/>
  <c r="I39" i="9" a="1"/>
  <c r="AI22" i="9" a="1"/>
  <c r="K134" i="18"/>
  <c r="CQ35" i="9" a="1"/>
  <c r="CP40" i="9" a="1"/>
  <c r="CB27" i="9" a="1"/>
  <c r="AZ34" i="9" a="1"/>
  <c r="AS38" i="9" a="1"/>
  <c r="BW34" i="9" a="1"/>
  <c r="R30" i="9" a="1"/>
  <c r="AJ27" i="9" a="1"/>
  <c r="K1084" i="22"/>
  <c r="CE37" i="9" a="1"/>
  <c r="H25" i="9" a="1"/>
  <c r="BW22" i="9" a="1"/>
  <c r="AQ34" i="9" a="1"/>
  <c r="G34" i="9" a="1"/>
  <c r="AV22" i="9" a="1"/>
  <c r="BS27" i="9" a="1"/>
  <c r="K1806" i="22"/>
  <c r="AZ39" i="9" a="1"/>
  <c r="AS27" i="9" a="1"/>
  <c r="AU36" i="9" a="1"/>
  <c r="AI40" i="9" a="1"/>
  <c r="CP35" i="9" a="1"/>
  <c r="CC32" i="9" a="1"/>
  <c r="G29" i="9" a="1"/>
  <c r="AS35" i="9" a="1"/>
  <c r="BV21" i="9" a="1"/>
  <c r="BX36" i="9" a="1"/>
  <c r="BE32" i="9" a="1"/>
  <c r="CI29" i="9" a="1"/>
  <c r="AA35" i="9" a="1"/>
  <c r="BZ20" i="9" a="1"/>
  <c r="BF39" i="9" a="1"/>
  <c r="BH25" i="9" a="1"/>
  <c r="K704" i="14"/>
  <c r="AM28" i="9" a="1"/>
  <c r="BN37" i="9" a="1"/>
  <c r="AL32" i="9" a="1"/>
  <c r="CE29" i="9" a="1"/>
  <c r="Z22" i="9" a="1"/>
  <c r="Z40" i="9" a="1"/>
  <c r="AL38" i="9" a="1"/>
  <c r="BP20" i="9" a="1"/>
  <c r="J36" i="9" a="1"/>
  <c r="AH30" i="9" a="1"/>
  <c r="BB33" i="9" a="1"/>
  <c r="CE38" i="9" a="1"/>
  <c r="CN26" i="9" a="1"/>
  <c r="AU37" i="9" a="1"/>
  <c r="K30" i="9" a="1"/>
  <c r="CB30" i="9" a="1"/>
  <c r="BS21" i="9" a="1"/>
  <c r="AL26" i="9" a="1"/>
  <c r="BV24" i="9" a="1"/>
  <c r="BB26" i="9" a="1"/>
  <c r="AG23" i="9" a="1"/>
  <c r="G26" i="9" a="1"/>
  <c r="W21" i="9" a="1"/>
  <c r="BD22" i="9" a="1"/>
  <c r="CI32" i="9" a="1"/>
  <c r="CP31" i="9" a="1"/>
  <c r="M23" i="9" a="1"/>
  <c r="CI21" i="9" a="1"/>
  <c r="BB35" i="9" a="1"/>
  <c r="K780" i="22"/>
  <c r="BT31" i="9" a="1"/>
  <c r="AT36" i="9" a="1"/>
  <c r="AH36" i="9" a="1"/>
  <c r="S33" i="9" a="1"/>
  <c r="CK33" i="9" a="1"/>
  <c r="BO27" i="9" a="1"/>
  <c r="CB40" i="9" a="1"/>
  <c r="AK36" i="9" a="1"/>
  <c r="CA33" i="9" a="1"/>
  <c r="AW29" i="9" a="1"/>
  <c r="BH22" i="9" a="1"/>
  <c r="AM38" i="9" a="1"/>
  <c r="CG27" i="9" a="1"/>
  <c r="CA20" i="9" a="1"/>
  <c r="BH31" i="9" a="1"/>
  <c r="AA36" i="9" a="1"/>
  <c r="CD26" i="9" a="1"/>
  <c r="K1502" i="22"/>
  <c r="CC23" i="9" a="1"/>
  <c r="Y30" i="9" a="1"/>
  <c r="AG22" i="9" a="1"/>
  <c r="AQ35" i="9" a="1"/>
  <c r="BK21" i="9" a="1"/>
  <c r="BM26" i="9" a="1"/>
  <c r="BD26" i="9" a="1"/>
  <c r="J22" i="9" a="1"/>
  <c r="K172" i="14"/>
  <c r="K1654" i="22"/>
  <c r="AB40" i="9" a="1"/>
  <c r="CC29" i="9" a="1"/>
  <c r="AB36" i="9" a="1"/>
  <c r="AZ25" i="9" a="1"/>
  <c r="AV37" i="9" a="1"/>
  <c r="AM37" i="9" a="1"/>
  <c r="AN28" i="9" a="1"/>
  <c r="BE22" i="9" a="1"/>
  <c r="U36" i="9" a="1"/>
  <c r="T35" i="9" a="1"/>
  <c r="K210" i="14"/>
  <c r="BX37" i="9" a="1"/>
  <c r="S31" i="9" a="1"/>
  <c r="AM32" i="9" a="1"/>
  <c r="AO30" i="9" a="1"/>
  <c r="BQ32" i="9" a="1"/>
  <c r="K28" i="9" a="1"/>
  <c r="BA26" i="9" a="1"/>
  <c r="O30" i="9" a="1"/>
  <c r="AP23" i="9" a="1"/>
  <c r="BD33" i="9" a="1"/>
  <c r="AT37" i="9" a="1"/>
  <c r="BR26" i="9" a="1"/>
  <c r="AE33" i="9" a="1"/>
  <c r="AV28" i="9" a="1"/>
  <c r="AW28" i="9" a="1"/>
  <c r="CH39" i="9" a="1"/>
  <c r="CN30" i="9" a="1"/>
  <c r="AN27" i="9" a="1"/>
  <c r="M39" i="9" a="1"/>
  <c r="AA22" i="9" a="1"/>
  <c r="BF28" i="9" a="1"/>
  <c r="BQ31" i="9" a="1"/>
  <c r="CL20" i="9" a="1"/>
  <c r="AZ29" i="9" a="1"/>
  <c r="K476" i="22"/>
  <c r="CM24" i="9" a="1"/>
  <c r="CN31" i="9" a="1"/>
  <c r="AO21" i="9" a="1"/>
  <c r="AR24" i="9" a="1"/>
  <c r="P21" i="9" a="1"/>
  <c r="X24" i="9" a="1"/>
  <c r="H38" i="9" a="1"/>
  <c r="K20" i="18"/>
  <c r="BI25" i="9" a="1"/>
  <c r="AW24" i="9" a="1"/>
  <c r="CG38" i="9" a="1"/>
  <c r="N39" i="9" a="1"/>
  <c r="CM27" i="9" a="1"/>
  <c r="CI31" i="9" a="1"/>
  <c r="AP33" i="9" a="1"/>
  <c r="BB23" i="9" a="1"/>
  <c r="BY22" i="9" a="1"/>
  <c r="K134" i="14"/>
  <c r="R36" i="9" a="1"/>
  <c r="BN28" i="9" a="1"/>
  <c r="AH22" i="9" a="1"/>
  <c r="AX33" i="9" a="1"/>
  <c r="BN31" i="9" a="1"/>
  <c r="P29" i="9" a="1"/>
  <c r="O37" i="9" a="1"/>
  <c r="J27" i="9" a="1"/>
  <c r="U30" i="9" a="1"/>
  <c r="I23" i="9" a="1"/>
  <c r="BG29" i="9" a="1"/>
  <c r="AA30" i="9" a="1"/>
  <c r="BY40" i="9" a="1"/>
  <c r="CC22" i="9" a="1"/>
  <c r="BR39" i="9" a="1"/>
  <c r="CD24" i="9" a="1"/>
  <c r="P32" i="9" a="1"/>
  <c r="CB28" i="9" a="1"/>
  <c r="I21" i="9" a="1"/>
  <c r="AP36" i="9" a="1"/>
  <c r="CE28" i="9" a="1"/>
  <c r="AJ21" i="9" a="1"/>
  <c r="CH20" i="9" a="1"/>
  <c r="BF20" i="9" a="1"/>
  <c r="CF22" i="9" a="1"/>
  <c r="AD35" i="9" a="1"/>
  <c r="T27" i="9" a="1"/>
  <c r="CL21" i="9" a="1"/>
  <c r="BG20" i="9" a="1"/>
  <c r="BR33" i="9" a="1"/>
  <c r="AA31" i="9" a="1"/>
  <c r="BG28" i="9" a="1"/>
  <c r="AX37" i="9" a="1"/>
  <c r="E33" i="9" a="1"/>
  <c r="CC27" i="9" a="1"/>
  <c r="AL30" i="9" a="1"/>
  <c r="BG22" i="9" a="1"/>
  <c r="AN34" i="9" a="1"/>
  <c r="AX36" i="9" a="1"/>
  <c r="AO25" i="9" a="1"/>
  <c r="AW37" i="9" a="1"/>
  <c r="E25" i="9" a="1"/>
  <c r="Q36" i="9" a="1"/>
  <c r="AS34" i="9" a="1"/>
  <c r="BJ29" i="9" a="1"/>
  <c r="K38" i="9" a="1"/>
  <c r="AK37" i="9" a="1"/>
  <c r="AV32" i="9" a="1"/>
  <c r="CO27" i="9" a="1"/>
  <c r="BZ25" i="9" a="1"/>
  <c r="K134" i="15"/>
  <c r="BS37" i="9" a="1"/>
  <c r="AI39" i="9" a="1"/>
  <c r="BK32" i="9" a="1"/>
  <c r="BS31" i="9" a="1"/>
  <c r="H23" i="9" a="1"/>
  <c r="AI23" i="9" a="1"/>
  <c r="AN33" i="9" a="1"/>
  <c r="CC35" i="9" a="1"/>
  <c r="BM24" i="9" a="1"/>
  <c r="CH23" i="9" a="1"/>
  <c r="BY21" i="9" a="1"/>
  <c r="BJ32" i="9" a="1"/>
  <c r="Y40" i="9" a="1"/>
  <c r="I20" i="9" a="1"/>
  <c r="AD31" i="9" a="1"/>
  <c r="AX31" i="9" a="1"/>
  <c r="BE25" i="9" a="1"/>
  <c r="AL29" i="9" a="1"/>
  <c r="CE21" i="9" a="1"/>
  <c r="AC26" i="9" a="1"/>
  <c r="H29" i="9" a="1"/>
  <c r="AR33" i="9" a="1"/>
  <c r="BG33" i="9" a="1"/>
  <c r="Y34" i="9" a="1"/>
  <c r="AK21" i="9" a="1"/>
  <c r="BX20" i="9" a="1"/>
  <c r="CN37" i="9" a="1"/>
  <c r="K324" i="14"/>
  <c r="AO39" i="9" a="1"/>
  <c r="U35" i="9" a="1"/>
  <c r="AP25" i="9" a="1"/>
  <c r="U38" i="9" a="1"/>
  <c r="AO20" i="9" a="1"/>
  <c r="K96" i="15"/>
  <c r="BW30" i="9" a="1"/>
  <c r="BA21" i="9" a="1"/>
  <c r="BM20" i="9" a="1"/>
  <c r="E27" i="9" a="1"/>
  <c r="Z27" i="9" a="1"/>
  <c r="CQ21" i="9" a="1"/>
  <c r="BT34" i="9" a="1"/>
  <c r="P23" i="9" a="1"/>
  <c r="BA35" i="9" a="1"/>
  <c r="Y32" i="9" a="1"/>
  <c r="BQ24" i="9" a="1"/>
  <c r="N27" i="9" a="1"/>
  <c r="AM35" i="9" a="1"/>
  <c r="AD25" i="9" a="1"/>
  <c r="BI33" i="9" a="1"/>
  <c r="M36" i="9" a="1"/>
  <c r="G28" i="9" a="1"/>
  <c r="BI28" i="9" a="1"/>
  <c r="AF32" i="9" a="1"/>
  <c r="AO27" i="9" a="1"/>
  <c r="AQ22" i="9" a="1"/>
  <c r="CI23" i="9" a="1"/>
  <c r="CB26" i="9" a="1"/>
  <c r="K1236" i="22"/>
  <c r="X21" i="9" a="1"/>
  <c r="BI35" i="9" a="1"/>
  <c r="K1426" i="22"/>
  <c r="AV40" i="9" l="1"/>
  <c r="AI40" i="9"/>
  <c r="L40" i="9"/>
  <c r="BX40" i="9"/>
  <c r="AU40" i="9"/>
  <c r="I40" i="9"/>
  <c r="AO40" i="9"/>
  <c r="BU40" i="9"/>
  <c r="N40" i="9"/>
  <c r="AT40" i="9"/>
  <c r="BZ40" i="9"/>
  <c r="CB40" i="9"/>
  <c r="AQ40" i="9"/>
  <c r="T40" i="9"/>
  <c r="CF40" i="9"/>
  <c r="BC40" i="9"/>
  <c r="M40" i="9"/>
  <c r="AS40" i="9"/>
  <c r="BY40" i="9"/>
  <c r="R40" i="9"/>
  <c r="AX40" i="9"/>
  <c r="CD40" i="9"/>
  <c r="CG40" i="9"/>
  <c r="DC23" i="19" s="1"/>
  <c r="AF40" i="9"/>
  <c r="X40" i="9"/>
  <c r="AY40" i="9"/>
  <c r="AB40" i="9"/>
  <c r="CO40" i="9"/>
  <c r="BK40" i="9"/>
  <c r="Q40" i="9"/>
  <c r="AW40" i="9"/>
  <c r="CC40" i="9"/>
  <c r="V40" i="9"/>
  <c r="BB40" i="9"/>
  <c r="CI40" i="9"/>
  <c r="BL40" i="9"/>
  <c r="BD40" i="9"/>
  <c r="BG40" i="9"/>
  <c r="AJ40" i="9"/>
  <c r="G40" i="9"/>
  <c r="BS40" i="9"/>
  <c r="U40" i="9"/>
  <c r="BA40" i="9"/>
  <c r="CH40" i="9"/>
  <c r="Z40" i="9"/>
  <c r="BF40" i="9"/>
  <c r="CM40" i="9"/>
  <c r="H40" i="9"/>
  <c r="CK40" i="9"/>
  <c r="BO40" i="9"/>
  <c r="AR40" i="9"/>
  <c r="O40" i="9"/>
  <c r="CA40" i="9"/>
  <c r="Y40" i="9"/>
  <c r="BE40" i="9"/>
  <c r="CL40" i="9"/>
  <c r="AD40" i="9"/>
  <c r="BJ40" i="9"/>
  <c r="CQ40" i="9"/>
  <c r="AN40" i="9"/>
  <c r="K40" i="9"/>
  <c r="BW40" i="9"/>
  <c r="AZ40" i="9"/>
  <c r="W40" i="9"/>
  <c r="CJ40" i="9"/>
  <c r="AC40" i="9"/>
  <c r="BI40" i="9"/>
  <c r="CP40" i="9"/>
  <c r="AH40" i="9"/>
  <c r="BN40" i="9"/>
  <c r="BT40" i="9"/>
  <c r="S40" i="9"/>
  <c r="CE40" i="9"/>
  <c r="BH40" i="9"/>
  <c r="AE40" i="9"/>
  <c r="CR40" i="9"/>
  <c r="AG40" i="9"/>
  <c r="BM40" i="9"/>
  <c r="F40" i="9"/>
  <c r="AL40" i="9"/>
  <c r="BR40" i="9"/>
  <c r="P40" i="9"/>
  <c r="AA40" i="9"/>
  <c r="CN40" i="9"/>
  <c r="BP40" i="9"/>
  <c r="AM40" i="9"/>
  <c r="E40" i="9"/>
  <c r="AK40" i="9"/>
  <c r="BQ40" i="9"/>
  <c r="J40" i="9"/>
  <c r="AP40" i="9"/>
  <c r="BV40" i="9"/>
  <c r="BR37" i="9"/>
  <c r="S33" i="9"/>
  <c r="R25" i="9"/>
  <c r="AO21" i="9"/>
  <c r="Y38" i="9"/>
  <c r="Y22" i="9"/>
  <c r="BE39" i="9"/>
  <c r="BE37" i="9"/>
  <c r="CP37" i="9"/>
  <c r="AK37" i="9"/>
  <c r="V37" i="9"/>
  <c r="BV37" i="9"/>
  <c r="AE37" i="9"/>
  <c r="CJ37" i="9"/>
  <c r="AZ37" i="9"/>
  <c r="CH33" i="9"/>
  <c r="AT33" i="9"/>
  <c r="AH33" i="9"/>
  <c r="AI33" i="9"/>
  <c r="H33" i="9"/>
  <c r="BT33" i="9"/>
  <c r="CI29" i="9"/>
  <c r="BN29" i="9"/>
  <c r="AE29" i="9"/>
  <c r="AB29" i="9"/>
  <c r="AH25" i="9"/>
  <c r="V25" i="9"/>
  <c r="K25" i="9"/>
  <c r="CN25" i="9"/>
  <c r="CK25" i="9"/>
  <c r="BU21" i="9"/>
  <c r="BA21" i="9"/>
  <c r="BS21" i="9"/>
  <c r="BP21" i="9"/>
  <c r="F38" i="9"/>
  <c r="CJ38" i="9"/>
  <c r="AG38" i="9"/>
  <c r="AT34" i="9"/>
  <c r="P34" i="9"/>
  <c r="BA34" i="9"/>
  <c r="CI30" i="9"/>
  <c r="AJ30" i="9"/>
  <c r="BU30" i="9"/>
  <c r="BR26" i="9"/>
  <c r="AL22" i="9"/>
  <c r="AW22" i="9"/>
  <c r="P36" i="9"/>
  <c r="CO32" i="9"/>
  <c r="BG28" i="9"/>
  <c r="AA35" i="9"/>
  <c r="AC31" i="9"/>
  <c r="CI27" i="9"/>
  <c r="CA37" i="9"/>
  <c r="BD33" i="9"/>
  <c r="BU25" i="9"/>
  <c r="CA38" i="9"/>
  <c r="BM30" i="9"/>
  <c r="BB28" i="9"/>
  <c r="CC27" i="9"/>
  <c r="BU37" i="9"/>
  <c r="Q37" i="9"/>
  <c r="BA37" i="9"/>
  <c r="Z37" i="9"/>
  <c r="CD37" i="9"/>
  <c r="AQ37" i="9"/>
  <c r="CN37" i="9"/>
  <c r="BH37" i="9"/>
  <c r="V33" i="9"/>
  <c r="BZ33" i="9"/>
  <c r="AX33" i="9"/>
  <c r="AQ33" i="9"/>
  <c r="P33" i="9"/>
  <c r="CB33" i="9"/>
  <c r="I29" i="9"/>
  <c r="E29" i="9"/>
  <c r="AM29" i="9"/>
  <c r="AJ29" i="9"/>
  <c r="BN25" i="9"/>
  <c r="AL25" i="9"/>
  <c r="S25" i="9"/>
  <c r="P25" i="9"/>
  <c r="F21" i="9"/>
  <c r="CL21" i="9"/>
  <c r="CH21" i="9"/>
  <c r="CA21" i="9"/>
  <c r="BX21" i="9"/>
  <c r="J38" i="9"/>
  <c r="T38" i="9"/>
  <c r="BE38" i="9"/>
  <c r="CQ34" i="9"/>
  <c r="AN34" i="9"/>
  <c r="BY34" i="9"/>
  <c r="AM30" i="9"/>
  <c r="BH30" i="9"/>
  <c r="G26" i="9"/>
  <c r="AF26" i="9"/>
  <c r="W22" i="9"/>
  <c r="CL22" i="9"/>
  <c r="I36" i="9"/>
  <c r="AH32" i="9"/>
  <c r="CN28" i="9"/>
  <c r="CN35" i="9"/>
  <c r="BI31" i="9"/>
  <c r="AV23" i="9"/>
  <c r="CG37" i="9"/>
  <c r="DC20" i="19" s="1"/>
  <c r="BY37" i="9"/>
  <c r="AJ37" i="9"/>
  <c r="BB29" i="9"/>
  <c r="CB25" i="9"/>
  <c r="BN38" i="9"/>
  <c r="AB30" i="9"/>
  <c r="CL37" i="9"/>
  <c r="AG37" i="9"/>
  <c r="BQ37" i="9"/>
  <c r="AL37" i="9"/>
  <c r="CI37" i="9"/>
  <c r="AU37" i="9"/>
  <c r="CR37" i="9"/>
  <c r="BL37" i="9"/>
  <c r="AL33" i="9"/>
  <c r="I33" i="9"/>
  <c r="BF33" i="9"/>
  <c r="AU33" i="9"/>
  <c r="T33" i="9"/>
  <c r="CF33" i="9"/>
  <c r="Y29" i="9"/>
  <c r="U29" i="9"/>
  <c r="BC29" i="9"/>
  <c r="AR29" i="9"/>
  <c r="CD25" i="9"/>
  <c r="BR25" i="9"/>
  <c r="AA25" i="9"/>
  <c r="X25" i="9"/>
  <c r="AL21" i="9"/>
  <c r="R21" i="9"/>
  <c r="G21" i="9"/>
  <c r="CR21" i="9"/>
  <c r="CF21" i="9"/>
  <c r="AP38" i="9"/>
  <c r="AB38" i="9"/>
  <c r="BM38" i="9"/>
  <c r="O34" i="9"/>
  <c r="AV34" i="9"/>
  <c r="CH34" i="9"/>
  <c r="BC30" i="9"/>
  <c r="BP30" i="9"/>
  <c r="W26" i="9"/>
  <c r="BD26" i="9"/>
  <c r="BS22" i="9"/>
  <c r="BU36" i="9"/>
  <c r="AM32" i="9"/>
  <c r="CK24" i="9"/>
  <c r="AA39" i="9"/>
  <c r="I35" i="9"/>
  <c r="BN31" i="9"/>
  <c r="BP23" i="9"/>
  <c r="R37" i="9"/>
  <c r="U33" i="9"/>
  <c r="AX29" i="9"/>
  <c r="CE25" i="9"/>
  <c r="H34" i="9"/>
  <c r="V26" i="9"/>
  <c r="CB32" i="9"/>
  <c r="M37" i="9"/>
  <c r="AW37" i="9"/>
  <c r="CH37" i="9"/>
  <c r="AP37" i="9"/>
  <c r="CM37" i="9"/>
  <c r="BC37" i="9"/>
  <c r="P37" i="9"/>
  <c r="BP37" i="9"/>
  <c r="BB33" i="9"/>
  <c r="Q33" i="9"/>
  <c r="BN33" i="9"/>
  <c r="AY33" i="9"/>
  <c r="X33" i="9"/>
  <c r="CK33" i="9"/>
  <c r="BE29" i="9"/>
  <c r="AK29" i="9"/>
  <c r="BK29" i="9"/>
  <c r="BH29" i="9"/>
  <c r="E25" i="9"/>
  <c r="CI25" i="9"/>
  <c r="AQ25" i="9"/>
  <c r="AF25" i="9"/>
  <c r="BB21" i="9"/>
  <c r="AX21" i="9"/>
  <c r="O21" i="9"/>
  <c r="L21" i="9"/>
  <c r="O38" i="9"/>
  <c r="AZ38" i="9"/>
  <c r="CL38" i="9"/>
  <c r="BK34" i="9"/>
  <c r="BT34" i="9"/>
  <c r="AI30" i="9"/>
  <c r="J30" i="9"/>
  <c r="CO30" i="9"/>
  <c r="CA26" i="9"/>
  <c r="E26" i="9"/>
  <c r="BF22" i="9"/>
  <c r="N36" i="9"/>
  <c r="BS32" i="9"/>
  <c r="BM24" i="9"/>
  <c r="L39" i="9"/>
  <c r="AO35" i="9"/>
  <c r="L27" i="9"/>
  <c r="AM23" i="9"/>
  <c r="AO37" i="9"/>
  <c r="CP33" i="9"/>
  <c r="W29" i="9"/>
  <c r="AK21" i="9"/>
  <c r="BR30" i="9"/>
  <c r="AC37" i="9"/>
  <c r="BM37" i="9"/>
  <c r="F37" i="9"/>
  <c r="AX37" i="9"/>
  <c r="K37" i="9"/>
  <c r="BG37" i="9"/>
  <c r="T37" i="9"/>
  <c r="CF37" i="9"/>
  <c r="AC33" i="9"/>
  <c r="AW33" i="9"/>
  <c r="CQ33" i="9"/>
  <c r="BO33" i="9"/>
  <c r="AN33" i="9"/>
  <c r="V29" i="9"/>
  <c r="BU29" i="9"/>
  <c r="BQ29" i="9"/>
  <c r="BS29" i="9"/>
  <c r="BP29" i="9"/>
  <c r="AK25" i="9"/>
  <c r="I25" i="9"/>
  <c r="AY25" i="9"/>
  <c r="AV25" i="9"/>
  <c r="BR21" i="9"/>
  <c r="BN21" i="9"/>
  <c r="AE21" i="9"/>
  <c r="T21" i="9"/>
  <c r="W38" i="9"/>
  <c r="BH38" i="9"/>
  <c r="R34" i="9"/>
  <c r="CA34" i="9"/>
  <c r="CB34" i="9"/>
  <c r="AY30" i="9"/>
  <c r="Z30" i="9"/>
  <c r="I30" i="9"/>
  <c r="CR26" i="9"/>
  <c r="AC26" i="9"/>
  <c r="L22" i="9"/>
  <c r="S36" i="9"/>
  <c r="BH28" i="9"/>
  <c r="AP24" i="9"/>
  <c r="AO39" i="9"/>
  <c r="AT35" i="9"/>
  <c r="P27" i="9"/>
  <c r="BQ23" i="9"/>
  <c r="AA37" i="9"/>
  <c r="CE33" i="9"/>
  <c r="F25" i="9"/>
  <c r="BK21" i="9"/>
  <c r="AD34" i="9"/>
  <c r="CE22" i="9"/>
  <c r="AZ31" i="9"/>
  <c r="I37" i="9"/>
  <c r="AS37" i="9"/>
  <c r="CC37" i="9"/>
  <c r="J37" i="9"/>
  <c r="BB37" i="9"/>
  <c r="O37" i="9"/>
  <c r="BK37" i="9"/>
  <c r="AB37" i="9"/>
  <c r="CO37" i="9"/>
  <c r="BI33" i="9"/>
  <c r="BM33" i="9"/>
  <c r="K33" i="9"/>
  <c r="BW33" i="9"/>
  <c r="AV33" i="9"/>
  <c r="AL29" i="9"/>
  <c r="CL29" i="9"/>
  <c r="CH29" i="9"/>
  <c r="CJ29" i="9"/>
  <c r="BX29" i="9"/>
  <c r="BA25" i="9"/>
  <c r="AO25" i="9"/>
  <c r="BG25" i="9"/>
  <c r="BD25" i="9"/>
  <c r="I21" i="9"/>
  <c r="CD21" i="9"/>
  <c r="AM21" i="9"/>
  <c r="AJ21" i="9"/>
  <c r="AD38" i="9"/>
  <c r="AU38" i="9"/>
  <c r="CF38" i="9"/>
  <c r="AH34" i="9"/>
  <c r="AI34" i="9"/>
  <c r="M34" i="9"/>
  <c r="F30" i="9"/>
  <c r="BV30" i="9"/>
  <c r="AG30" i="9"/>
  <c r="BV26" i="9"/>
  <c r="BQ26" i="9"/>
  <c r="AZ22" i="9"/>
  <c r="AY36" i="9"/>
  <c r="AC28" i="9"/>
  <c r="BV24" i="9"/>
  <c r="F39" i="9"/>
  <c r="BZ35" i="9"/>
  <c r="CB27" i="9"/>
  <c r="J23" i="9"/>
  <c r="U37" i="9"/>
  <c r="CC33" i="9"/>
  <c r="L29" i="9"/>
  <c r="AZ21" i="9"/>
  <c r="AS34" i="9"/>
  <c r="Y37" i="9"/>
  <c r="BI37" i="9"/>
  <c r="E37" i="9"/>
  <c r="N37" i="9"/>
  <c r="BF37" i="9"/>
  <c r="W37" i="9"/>
  <c r="BW37" i="9"/>
  <c r="AF37" i="9"/>
  <c r="F33" i="9"/>
  <c r="BY33" i="9"/>
  <c r="BU33" i="9"/>
  <c r="O33" i="9"/>
  <c r="CA33" i="9"/>
  <c r="AZ33" i="9"/>
  <c r="AT29" i="9"/>
  <c r="AH29" i="9"/>
  <c r="G29" i="9"/>
  <c r="CR29" i="9"/>
  <c r="CO29" i="9"/>
  <c r="BQ25" i="9"/>
  <c r="BE25" i="9"/>
  <c r="BW25" i="9"/>
  <c r="BL25" i="9"/>
  <c r="Y21" i="9"/>
  <c r="U21" i="9"/>
  <c r="AU21" i="9"/>
  <c r="AR21" i="9"/>
  <c r="BJ38" i="9"/>
  <c r="BC38" i="9"/>
  <c r="CO38" i="9"/>
  <c r="J34" i="9"/>
  <c r="AY34" i="9"/>
  <c r="U34" i="9"/>
  <c r="V30" i="9"/>
  <c r="CM30" i="9"/>
  <c r="AO30" i="9"/>
  <c r="AI26" i="9"/>
  <c r="CP26" i="9"/>
  <c r="BX22" i="9"/>
  <c r="P32" i="9"/>
  <c r="V28" i="9"/>
  <c r="CA24" i="9"/>
  <c r="BX39" i="9"/>
  <c r="BW31" i="9"/>
  <c r="AW27" i="9"/>
  <c r="AD37" i="9"/>
  <c r="BJ37" i="9"/>
  <c r="CQ37" i="9"/>
  <c r="AI37" i="9"/>
  <c r="BO37" i="9"/>
  <c r="H37" i="9"/>
  <c r="AN37" i="9"/>
  <c r="BT37" i="9"/>
  <c r="AK33" i="9"/>
  <c r="BR33" i="9"/>
  <c r="E33" i="9"/>
  <c r="Y33" i="9"/>
  <c r="CL33" i="9"/>
  <c r="BV33" i="9"/>
  <c r="W33" i="9"/>
  <c r="BC33" i="9"/>
  <c r="CJ33" i="9"/>
  <c r="AB33" i="9"/>
  <c r="BH33" i="9"/>
  <c r="CO33" i="9"/>
  <c r="BJ29" i="9"/>
  <c r="AG29" i="9"/>
  <c r="J29" i="9"/>
  <c r="BV29" i="9"/>
  <c r="AS29" i="9"/>
  <c r="K29" i="9"/>
  <c r="AQ29" i="9"/>
  <c r="BW29" i="9"/>
  <c r="P29" i="9"/>
  <c r="AV29" i="9"/>
  <c r="CB29" i="9"/>
  <c r="AP25" i="9"/>
  <c r="M25" i="9"/>
  <c r="BY25" i="9"/>
  <c r="AT25" i="9"/>
  <c r="Q25" i="9"/>
  <c r="CC25" i="9"/>
  <c r="AE25" i="9"/>
  <c r="BK25" i="9"/>
  <c r="CR25" i="9"/>
  <c r="AJ25" i="9"/>
  <c r="BP25" i="9"/>
  <c r="N21" i="9"/>
  <c r="BZ21" i="9"/>
  <c r="AW21" i="9"/>
  <c r="Z21" i="9"/>
  <c r="CM21" i="9"/>
  <c r="BI21" i="9"/>
  <c r="S21" i="9"/>
  <c r="AY21" i="9"/>
  <c r="CE21" i="9"/>
  <c r="X21" i="9"/>
  <c r="BD21" i="9"/>
  <c r="CK21" i="9"/>
  <c r="BZ38" i="9"/>
  <c r="V38" i="9"/>
  <c r="BF38" i="9"/>
  <c r="AA38" i="9"/>
  <c r="BG38" i="9"/>
  <c r="CN38" i="9"/>
  <c r="AF38" i="9"/>
  <c r="BL38" i="9"/>
  <c r="E38" i="9"/>
  <c r="AK38" i="9"/>
  <c r="BQ38" i="9"/>
  <c r="AX34" i="9"/>
  <c r="AP34" i="9"/>
  <c r="BB34" i="9"/>
  <c r="W34" i="9"/>
  <c r="CJ34" i="9"/>
  <c r="BG34" i="9"/>
  <c r="T34" i="9"/>
  <c r="AZ34" i="9"/>
  <c r="CF34" i="9"/>
  <c r="Y34" i="9"/>
  <c r="BE34" i="9"/>
  <c r="CL34" i="9"/>
  <c r="BG30" i="9"/>
  <c r="AD30" i="9"/>
  <c r="CQ30" i="9"/>
  <c r="BK30" i="9"/>
  <c r="AH30" i="9"/>
  <c r="H30" i="9"/>
  <c r="AN30" i="9"/>
  <c r="BT30" i="9"/>
  <c r="M30" i="9"/>
  <c r="AS30" i="9"/>
  <c r="BY30" i="9"/>
  <c r="AE26" i="9"/>
  <c r="J26" i="9"/>
  <c r="AQ26" i="9"/>
  <c r="BZ26" i="9"/>
  <c r="BH26" i="9"/>
  <c r="AG26" i="9"/>
  <c r="K22" i="9"/>
  <c r="AT22" i="9"/>
  <c r="CA22" i="9"/>
  <c r="P22" i="9"/>
  <c r="CB22" i="9"/>
  <c r="BA22" i="9"/>
  <c r="Q36" i="9"/>
  <c r="R36" i="9"/>
  <c r="BC36" i="9"/>
  <c r="CL32" i="9"/>
  <c r="AL32" i="9"/>
  <c r="BW32" i="9"/>
  <c r="AK28" i="9"/>
  <c r="BF28" i="9"/>
  <c r="CR28" i="9"/>
  <c r="BU24" i="9"/>
  <c r="BZ24" i="9"/>
  <c r="AN39" i="9"/>
  <c r="AH39" i="9"/>
  <c r="CH39" i="9"/>
  <c r="BH35" i="9"/>
  <c r="BQ35" i="9"/>
  <c r="X31" i="9"/>
  <c r="O31" i="9"/>
  <c r="CL31" i="9"/>
  <c r="BP27" i="9"/>
  <c r="AY27" i="9"/>
  <c r="R27" i="9"/>
  <c r="S23" i="9"/>
  <c r="CR23" i="9"/>
  <c r="AL23" i="9"/>
  <c r="CG27" i="9"/>
  <c r="DC10" i="19" s="1"/>
  <c r="AH37" i="9"/>
  <c r="BN37" i="9"/>
  <c r="G37" i="9"/>
  <c r="AM37" i="9"/>
  <c r="BS37" i="9"/>
  <c r="L37" i="9"/>
  <c r="AR37" i="9"/>
  <c r="BX37" i="9"/>
  <c r="BA33" i="9"/>
  <c r="CI33" i="9"/>
  <c r="N33" i="9"/>
  <c r="AG33" i="9"/>
  <c r="R33" i="9"/>
  <c r="CD33" i="9"/>
  <c r="AA33" i="9"/>
  <c r="BG33" i="9"/>
  <c r="CN33" i="9"/>
  <c r="AF33" i="9"/>
  <c r="BL33" i="9"/>
  <c r="F29" i="9"/>
  <c r="BR29" i="9"/>
  <c r="AO29" i="9"/>
  <c r="R29" i="9"/>
  <c r="CD29" i="9"/>
  <c r="BA29" i="9"/>
  <c r="O29" i="9"/>
  <c r="AU29" i="9"/>
  <c r="CA29" i="9"/>
  <c r="T29" i="9"/>
  <c r="AZ29" i="9"/>
  <c r="CF29" i="9"/>
  <c r="AX25" i="9"/>
  <c r="U25" i="9"/>
  <c r="CH25" i="9"/>
  <c r="BB25" i="9"/>
  <c r="Y25" i="9"/>
  <c r="CL25" i="9"/>
  <c r="AI25" i="9"/>
  <c r="BO25" i="9"/>
  <c r="H25" i="9"/>
  <c r="AN25" i="9"/>
  <c r="BT25" i="9"/>
  <c r="V21" i="9"/>
  <c r="CI21" i="9"/>
  <c r="BE21" i="9"/>
  <c r="AH21" i="9"/>
  <c r="E21" i="9"/>
  <c r="BQ21" i="9"/>
  <c r="W21" i="9"/>
  <c r="BC21" i="9"/>
  <c r="CJ21" i="9"/>
  <c r="AB21" i="9"/>
  <c r="BH21" i="9"/>
  <c r="CO21" i="9"/>
  <c r="CQ38" i="9"/>
  <c r="AL38" i="9"/>
  <c r="BV38" i="9"/>
  <c r="AE38" i="9"/>
  <c r="BK38" i="9"/>
  <c r="CR38" i="9"/>
  <c r="AJ38" i="9"/>
  <c r="BP38" i="9"/>
  <c r="I38" i="9"/>
  <c r="AO38" i="9"/>
  <c r="BU38" i="9"/>
  <c r="CD34" i="9"/>
  <c r="BV34" i="9"/>
  <c r="BJ34" i="9"/>
  <c r="AE34" i="9"/>
  <c r="CR34" i="9"/>
  <c r="BO34" i="9"/>
  <c r="X34" i="9"/>
  <c r="BD34" i="9"/>
  <c r="CK34" i="9"/>
  <c r="AC34" i="9"/>
  <c r="BI34" i="9"/>
  <c r="CP34" i="9"/>
  <c r="BO30" i="9"/>
  <c r="AL30" i="9"/>
  <c r="G30" i="9"/>
  <c r="BS30" i="9"/>
  <c r="AP30" i="9"/>
  <c r="L30" i="9"/>
  <c r="AR30" i="9"/>
  <c r="BX30" i="9"/>
  <c r="Q30" i="9"/>
  <c r="AW30" i="9"/>
  <c r="CC30" i="9"/>
  <c r="AM26" i="9"/>
  <c r="R26" i="9"/>
  <c r="AY26" i="9"/>
  <c r="CI26" i="9"/>
  <c r="BL26" i="9"/>
  <c r="AK26" i="9"/>
  <c r="S22" i="9"/>
  <c r="BB22" i="9"/>
  <c r="CJ22" i="9"/>
  <c r="T22" i="9"/>
  <c r="CF22" i="9"/>
  <c r="BE22" i="9"/>
  <c r="CK36" i="9"/>
  <c r="AT36" i="9"/>
  <c r="CE36" i="9"/>
  <c r="BE32" i="9"/>
  <c r="BN32" i="9"/>
  <c r="Q28" i="9"/>
  <c r="CP28" i="9"/>
  <c r="CI28" i="9"/>
  <c r="BA24" i="9"/>
  <c r="AR24" i="9"/>
  <c r="O24" i="9"/>
  <c r="AT39" i="9"/>
  <c r="AL39" i="9"/>
  <c r="CL39" i="9"/>
  <c r="BP35" i="9"/>
  <c r="BU35" i="9"/>
  <c r="AF31" i="9"/>
  <c r="W31" i="9"/>
  <c r="CP31" i="9"/>
  <c r="BX27" i="9"/>
  <c r="BG27" i="9"/>
  <c r="V27" i="9"/>
  <c r="AA23" i="9"/>
  <c r="E23" i="9"/>
  <c r="AP23" i="9"/>
  <c r="AV37" i="9"/>
  <c r="CB37" i="9"/>
  <c r="BQ33" i="9"/>
  <c r="M33" i="9"/>
  <c r="AD33" i="9"/>
  <c r="AO33" i="9"/>
  <c r="Z33" i="9"/>
  <c r="CM33" i="9"/>
  <c r="AE33" i="9"/>
  <c r="BK33" i="9"/>
  <c r="CR33" i="9"/>
  <c r="AJ33" i="9"/>
  <c r="BP33" i="9"/>
  <c r="N29" i="9"/>
  <c r="BZ29" i="9"/>
  <c r="AW29" i="9"/>
  <c r="Z29" i="9"/>
  <c r="CM29" i="9"/>
  <c r="BI29" i="9"/>
  <c r="S29" i="9"/>
  <c r="AY29" i="9"/>
  <c r="CE29" i="9"/>
  <c r="X29" i="9"/>
  <c r="BD29" i="9"/>
  <c r="CK29" i="9"/>
  <c r="BF25" i="9"/>
  <c r="AC25" i="9"/>
  <c r="CP25" i="9"/>
  <c r="BJ25" i="9"/>
  <c r="AG25" i="9"/>
  <c r="G25" i="9"/>
  <c r="AM25" i="9"/>
  <c r="BS25" i="9"/>
  <c r="L25" i="9"/>
  <c r="AR25" i="9"/>
  <c r="BX25" i="9"/>
  <c r="AD21" i="9"/>
  <c r="CQ21" i="9"/>
  <c r="BM21" i="9"/>
  <c r="AP21" i="9"/>
  <c r="M21" i="9"/>
  <c r="BY21" i="9"/>
  <c r="AA21" i="9"/>
  <c r="BG21" i="9"/>
  <c r="CN21" i="9"/>
  <c r="AF21" i="9"/>
  <c r="BL21" i="9"/>
  <c r="R38" i="9"/>
  <c r="BB38" i="9"/>
  <c r="CM38" i="9"/>
  <c r="AI38" i="9"/>
  <c r="BO38" i="9"/>
  <c r="H38" i="9"/>
  <c r="AN38" i="9"/>
  <c r="BT38" i="9"/>
  <c r="M38" i="9"/>
  <c r="AS38" i="9"/>
  <c r="BY38" i="9"/>
  <c r="Z34" i="9"/>
  <c r="F34" i="9"/>
  <c r="BR34" i="9"/>
  <c r="AM34" i="9"/>
  <c r="K34" i="9"/>
  <c r="BW34" i="9"/>
  <c r="AB34" i="9"/>
  <c r="BH34" i="9"/>
  <c r="CO34" i="9"/>
  <c r="AG34" i="9"/>
  <c r="BM34" i="9"/>
  <c r="K30" i="9"/>
  <c r="BW30" i="9"/>
  <c r="AT30" i="9"/>
  <c r="O30" i="9"/>
  <c r="CA30" i="9"/>
  <c r="AX30" i="9"/>
  <c r="P30" i="9"/>
  <c r="AV30" i="9"/>
  <c r="CB30" i="9"/>
  <c r="U30" i="9"/>
  <c r="BA30" i="9"/>
  <c r="CH30" i="9"/>
  <c r="AU26" i="9"/>
  <c r="AX26" i="9"/>
  <c r="CN26" i="9"/>
  <c r="T26" i="9"/>
  <c r="CF26" i="9"/>
  <c r="BE26" i="9"/>
  <c r="BG22" i="9"/>
  <c r="CQ22" i="9"/>
  <c r="AH22" i="9"/>
  <c r="AN22" i="9"/>
  <c r="M22" i="9"/>
  <c r="BY22" i="9"/>
  <c r="BH36" i="9"/>
  <c r="AX36" i="9"/>
  <c r="CJ36" i="9"/>
  <c r="BM32" i="9"/>
  <c r="BR32" i="9"/>
  <c r="Y28" i="9"/>
  <c r="H28" i="9"/>
  <c r="CM28" i="9"/>
  <c r="BI24" i="9"/>
  <c r="AZ24" i="9"/>
  <c r="S24" i="9"/>
  <c r="S39" i="9"/>
  <c r="E39" i="9"/>
  <c r="CM39" i="9"/>
  <c r="CR35" i="9"/>
  <c r="AF35" i="9"/>
  <c r="J35" i="9"/>
  <c r="CK31" i="9"/>
  <c r="CA31" i="9"/>
  <c r="AD31" i="9"/>
  <c r="AM27" i="9"/>
  <c r="M27" i="9"/>
  <c r="AX27" i="9"/>
  <c r="CE23" i="9"/>
  <c r="AG23" i="9"/>
  <c r="BR23" i="9"/>
  <c r="AH38" i="9"/>
  <c r="BR38" i="9"/>
  <c r="G38" i="9"/>
  <c r="AM38" i="9"/>
  <c r="BS38" i="9"/>
  <c r="L38" i="9"/>
  <c r="AR38" i="9"/>
  <c r="BX38" i="9"/>
  <c r="Q38" i="9"/>
  <c r="AW38" i="9"/>
  <c r="CC38" i="9"/>
  <c r="BF34" i="9"/>
  <c r="N34" i="9"/>
  <c r="BZ34" i="9"/>
  <c r="AU34" i="9"/>
  <c r="S34" i="9"/>
  <c r="CE34" i="9"/>
  <c r="AF34" i="9"/>
  <c r="BL34" i="9"/>
  <c r="E34" i="9"/>
  <c r="AK34" i="9"/>
  <c r="BQ34" i="9"/>
  <c r="S30" i="9"/>
  <c r="CE30" i="9"/>
  <c r="BB30" i="9"/>
  <c r="W30" i="9"/>
  <c r="CJ30" i="9"/>
  <c r="BF30" i="9"/>
  <c r="T30" i="9"/>
  <c r="AZ30" i="9"/>
  <c r="CF30" i="9"/>
  <c r="Y30" i="9"/>
  <c r="BE30" i="9"/>
  <c r="CL30" i="9"/>
  <c r="BK26" i="9"/>
  <c r="BF26" i="9"/>
  <c r="F26" i="9"/>
  <c r="X26" i="9"/>
  <c r="CK26" i="9"/>
  <c r="BI26" i="9"/>
  <c r="BO22" i="9"/>
  <c r="G22" i="9"/>
  <c r="AP22" i="9"/>
  <c r="AR22" i="9"/>
  <c r="Q22" i="9"/>
  <c r="CC22" i="9"/>
  <c r="AK36" i="9"/>
  <c r="BZ36" i="9"/>
  <c r="AK32" i="9"/>
  <c r="AJ32" i="9"/>
  <c r="G32" i="9"/>
  <c r="CC28" i="9"/>
  <c r="BL28" i="9"/>
  <c r="AA28" i="9"/>
  <c r="X24" i="9"/>
  <c r="J24" i="9"/>
  <c r="AU24" i="9"/>
  <c r="AI39" i="9"/>
  <c r="I39" i="9"/>
  <c r="AR39" i="9"/>
  <c r="G35" i="9"/>
  <c r="AN35" i="9"/>
  <c r="N35" i="9"/>
  <c r="K31" i="9"/>
  <c r="CJ31" i="9"/>
  <c r="AH31" i="9"/>
  <c r="AU27" i="9"/>
  <c r="Q27" i="9"/>
  <c r="BB27" i="9"/>
  <c r="CN23" i="9"/>
  <c r="AK23" i="9"/>
  <c r="BV23" i="9"/>
  <c r="AT37" i="9"/>
  <c r="BZ37" i="9"/>
  <c r="S37" i="9"/>
  <c r="AY37" i="9"/>
  <c r="CE37" i="9"/>
  <c r="X37" i="9"/>
  <c r="BD37" i="9"/>
  <c r="CK37" i="9"/>
  <c r="J33" i="9"/>
  <c r="AS33" i="9"/>
  <c r="BJ33" i="9"/>
  <c r="BE33" i="9"/>
  <c r="AP33" i="9"/>
  <c r="G33" i="9"/>
  <c r="AM33" i="9"/>
  <c r="BS33" i="9"/>
  <c r="L33" i="9"/>
  <c r="AR33" i="9"/>
  <c r="BX33" i="9"/>
  <c r="AD29" i="9"/>
  <c r="CQ29" i="9"/>
  <c r="BM29" i="9"/>
  <c r="AP29" i="9"/>
  <c r="M29" i="9"/>
  <c r="BY29" i="9"/>
  <c r="AA29" i="9"/>
  <c r="BG29" i="9"/>
  <c r="CN29" i="9"/>
  <c r="AF29" i="9"/>
  <c r="BL29" i="9"/>
  <c r="J25" i="9"/>
  <c r="BV25" i="9"/>
  <c r="AS25" i="9"/>
  <c r="N25" i="9"/>
  <c r="BZ25" i="9"/>
  <c r="AW25" i="9"/>
  <c r="O25" i="9"/>
  <c r="AU25" i="9"/>
  <c r="CA25" i="9"/>
  <c r="T25" i="9"/>
  <c r="AZ25" i="9"/>
  <c r="CF25" i="9"/>
  <c r="AT21" i="9"/>
  <c r="Q21" i="9"/>
  <c r="CC21" i="9"/>
  <c r="BF21" i="9"/>
  <c r="AC21" i="9"/>
  <c r="CP21" i="9"/>
  <c r="AI21" i="9"/>
  <c r="BO21" i="9"/>
  <c r="H21" i="9"/>
  <c r="AN21" i="9"/>
  <c r="BT21" i="9"/>
  <c r="N38" i="9"/>
  <c r="AX38" i="9"/>
  <c r="CI38" i="9"/>
  <c r="K38" i="9"/>
  <c r="AQ38" i="9"/>
  <c r="BW38" i="9"/>
  <c r="P38" i="9"/>
  <c r="AV38" i="9"/>
  <c r="CB38" i="9"/>
  <c r="U38" i="9"/>
  <c r="BA38" i="9"/>
  <c r="CH38" i="9"/>
  <c r="CM34" i="9"/>
  <c r="V34" i="9"/>
  <c r="CI34" i="9"/>
  <c r="BC34" i="9"/>
  <c r="AA34" i="9"/>
  <c r="CN34" i="9"/>
  <c r="AJ34" i="9"/>
  <c r="BP34" i="9"/>
  <c r="I34" i="9"/>
  <c r="AO34" i="9"/>
  <c r="BU34" i="9"/>
  <c r="AA30" i="9"/>
  <c r="CN30" i="9"/>
  <c r="BJ30" i="9"/>
  <c r="AE30" i="9"/>
  <c r="CR30" i="9"/>
  <c r="BN30" i="9"/>
  <c r="X30" i="9"/>
  <c r="BD30" i="9"/>
  <c r="CK30" i="9"/>
  <c r="AC30" i="9"/>
  <c r="BI30" i="9"/>
  <c r="CP30" i="9"/>
  <c r="BS26" i="9"/>
  <c r="BN26" i="9"/>
  <c r="N26" i="9"/>
  <c r="AB26" i="9"/>
  <c r="CO26" i="9"/>
  <c r="BM26" i="9"/>
  <c r="BW22" i="9"/>
  <c r="O22" i="9"/>
  <c r="AX22" i="9"/>
  <c r="AV22" i="9"/>
  <c r="U22" i="9"/>
  <c r="CH22" i="9"/>
  <c r="AB36" i="9"/>
  <c r="AS36" i="9"/>
  <c r="CD36" i="9"/>
  <c r="AS32" i="9"/>
  <c r="AR32" i="9"/>
  <c r="K32" i="9"/>
  <c r="CL28" i="9"/>
  <c r="BT28" i="9"/>
  <c r="AE28" i="9"/>
  <c r="AF24" i="9"/>
  <c r="N24" i="9"/>
  <c r="AY24" i="9"/>
  <c r="K39" i="9"/>
  <c r="AK39" i="9"/>
  <c r="BT39" i="9"/>
  <c r="S35" i="9"/>
  <c r="E35" i="9"/>
  <c r="AP35" i="9"/>
  <c r="BO31" i="9"/>
  <c r="Y31" i="9"/>
  <c r="BJ31" i="9"/>
  <c r="H27" i="9"/>
  <c r="AS27" i="9"/>
  <c r="CD27" i="9"/>
  <c r="BH23" i="9"/>
  <c r="BM23" i="9"/>
  <c r="CG21" i="9"/>
  <c r="DC4" i="19" s="1"/>
  <c r="Q29" i="9"/>
  <c r="CC29" i="9"/>
  <c r="BF29" i="9"/>
  <c r="AC29" i="9"/>
  <c r="CP29" i="9"/>
  <c r="AI29" i="9"/>
  <c r="BO29" i="9"/>
  <c r="H29" i="9"/>
  <c r="AN29" i="9"/>
  <c r="BT29" i="9"/>
  <c r="Z25" i="9"/>
  <c r="CM25" i="9"/>
  <c r="BI25" i="9"/>
  <c r="AD25" i="9"/>
  <c r="CQ25" i="9"/>
  <c r="BM25" i="9"/>
  <c r="W25" i="9"/>
  <c r="BC25" i="9"/>
  <c r="CJ25" i="9"/>
  <c r="AB25" i="9"/>
  <c r="BH25" i="9"/>
  <c r="CO25" i="9"/>
  <c r="BJ21" i="9"/>
  <c r="AG21" i="9"/>
  <c r="J21" i="9"/>
  <c r="BV21" i="9"/>
  <c r="AS21" i="9"/>
  <c r="K21" i="9"/>
  <c r="AQ21" i="9"/>
  <c r="BW21" i="9"/>
  <c r="P21" i="9"/>
  <c r="AV21" i="9"/>
  <c r="CB21" i="9"/>
  <c r="AT38" i="9"/>
  <c r="CD38" i="9"/>
  <c r="Z38" i="9"/>
  <c r="S38" i="9"/>
  <c r="AY38" i="9"/>
  <c r="CE38" i="9"/>
  <c r="X38" i="9"/>
  <c r="BD38" i="9"/>
  <c r="CK38" i="9"/>
  <c r="AC38" i="9"/>
  <c r="BI38" i="9"/>
  <c r="CP38" i="9"/>
  <c r="BN34" i="9"/>
  <c r="AL34" i="9"/>
  <c r="G34" i="9"/>
  <c r="BS34" i="9"/>
  <c r="AQ34" i="9"/>
  <c r="L34" i="9"/>
  <c r="AR34" i="9"/>
  <c r="BX34" i="9"/>
  <c r="Q34" i="9"/>
  <c r="AW34" i="9"/>
  <c r="CC34" i="9"/>
  <c r="AQ30" i="9"/>
  <c r="N30" i="9"/>
  <c r="BZ30" i="9"/>
  <c r="AU30" i="9"/>
  <c r="R30" i="9"/>
  <c r="CD30" i="9"/>
  <c r="AF30" i="9"/>
  <c r="BL30" i="9"/>
  <c r="E30" i="9"/>
  <c r="AK30" i="9"/>
  <c r="BQ30" i="9"/>
  <c r="O26" i="9"/>
  <c r="CJ26" i="9"/>
  <c r="AA26" i="9"/>
  <c r="BJ26" i="9"/>
  <c r="AZ26" i="9"/>
  <c r="Y26" i="9"/>
  <c r="CL26" i="9"/>
  <c r="AD22" i="9"/>
  <c r="BK22" i="9"/>
  <c r="H22" i="9"/>
  <c r="BT22" i="9"/>
  <c r="AS22" i="9"/>
  <c r="X36" i="9"/>
  <c r="BY36" i="9"/>
  <c r="W36" i="9"/>
  <c r="X32" i="9"/>
  <c r="F32" i="9"/>
  <c r="AQ32" i="9"/>
  <c r="BP28" i="9"/>
  <c r="Z28" i="9"/>
  <c r="BK28" i="9"/>
  <c r="I24" i="9"/>
  <c r="AT24" i="9"/>
  <c r="CE24" i="9"/>
  <c r="H39" i="9"/>
  <c r="CR39" i="9"/>
  <c r="BA39" i="9"/>
  <c r="CE35" i="9"/>
  <c r="AK35" i="9"/>
  <c r="BV35" i="9"/>
  <c r="AR31" i="9"/>
  <c r="BE31" i="9"/>
  <c r="CQ31" i="9"/>
  <c r="BT27" i="9"/>
  <c r="BY27" i="9"/>
  <c r="AN23" i="9"/>
  <c r="AE23" i="9"/>
  <c r="F23" i="9"/>
  <c r="CG30" i="9"/>
  <c r="DC13" i="19" s="1"/>
  <c r="CG28" i="9"/>
  <c r="DC11" i="19" s="1"/>
  <c r="CG22" i="9"/>
  <c r="DC5" i="19" s="1"/>
  <c r="CD26" i="9"/>
  <c r="BG26" i="9"/>
  <c r="AD26" i="9"/>
  <c r="CQ26" i="9"/>
  <c r="AJ26" i="9"/>
  <c r="BP26" i="9"/>
  <c r="I26" i="9"/>
  <c r="AO26" i="9"/>
  <c r="BU26" i="9"/>
  <c r="AA22" i="9"/>
  <c r="CN22" i="9"/>
  <c r="BJ22" i="9"/>
  <c r="AE22" i="9"/>
  <c r="CR22" i="9"/>
  <c r="BN22" i="9"/>
  <c r="X22" i="9"/>
  <c r="BD22" i="9"/>
  <c r="CK22" i="9"/>
  <c r="AC22" i="9"/>
  <c r="BI22" i="9"/>
  <c r="CP22" i="9"/>
  <c r="AJ36" i="9"/>
  <c r="AF36" i="9"/>
  <c r="Y36" i="9"/>
  <c r="BX36" i="9"/>
  <c r="BA36" i="9"/>
  <c r="CC36" i="9"/>
  <c r="V36" i="9"/>
  <c r="BB36" i="9"/>
  <c r="CI36" i="9"/>
  <c r="AA36" i="9"/>
  <c r="BG36" i="9"/>
  <c r="CN36" i="9"/>
  <c r="BA32" i="9"/>
  <c r="AF32" i="9"/>
  <c r="I32" i="9"/>
  <c r="BU32" i="9"/>
  <c r="AZ32" i="9"/>
  <c r="J32" i="9"/>
  <c r="AP32" i="9"/>
  <c r="BV32" i="9"/>
  <c r="O32" i="9"/>
  <c r="AU32" i="9"/>
  <c r="CA32" i="9"/>
  <c r="AG28" i="9"/>
  <c r="L28" i="9"/>
  <c r="BX28" i="9"/>
  <c r="AS28" i="9"/>
  <c r="P28" i="9"/>
  <c r="CB28" i="9"/>
  <c r="AD28" i="9"/>
  <c r="BJ28" i="9"/>
  <c r="CQ28" i="9"/>
  <c r="AI28" i="9"/>
  <c r="BO28" i="9"/>
  <c r="E24" i="9"/>
  <c r="BQ24" i="9"/>
  <c r="AN24" i="9"/>
  <c r="Q24" i="9"/>
  <c r="CC24" i="9"/>
  <c r="BH24" i="9"/>
  <c r="R24" i="9"/>
  <c r="AX24" i="9"/>
  <c r="CD24" i="9"/>
  <c r="W24" i="9"/>
  <c r="BC24" i="9"/>
  <c r="CJ24" i="9"/>
  <c r="BG39" i="9"/>
  <c r="AQ39" i="9"/>
  <c r="P39" i="9"/>
  <c r="BB39" i="9"/>
  <c r="M39" i="9"/>
  <c r="AU39" i="9"/>
  <c r="J39" i="9"/>
  <c r="AP39" i="9"/>
  <c r="AV39" i="9"/>
  <c r="CB39" i="9"/>
  <c r="BI39" i="9"/>
  <c r="CP39" i="9"/>
  <c r="AM35" i="9"/>
  <c r="AI35" i="9"/>
  <c r="L35" i="9"/>
  <c r="BX35" i="9"/>
  <c r="AV35" i="9"/>
  <c r="M35" i="9"/>
  <c r="AS35" i="9"/>
  <c r="BY35" i="9"/>
  <c r="R35" i="9"/>
  <c r="AX35" i="9"/>
  <c r="CD35" i="9"/>
  <c r="AN31" i="9"/>
  <c r="S31" i="9"/>
  <c r="CE31" i="9"/>
  <c r="BH31" i="9"/>
  <c r="AE31" i="9"/>
  <c r="CR31" i="9"/>
  <c r="AG31" i="9"/>
  <c r="BM31" i="9"/>
  <c r="F31" i="9"/>
  <c r="AL31" i="9"/>
  <c r="BR31" i="9"/>
  <c r="T27" i="9"/>
  <c r="CF27" i="9"/>
  <c r="BC27" i="9"/>
  <c r="X27" i="9"/>
  <c r="CK27" i="9"/>
  <c r="BO27" i="9"/>
  <c r="U27" i="9"/>
  <c r="BA27" i="9"/>
  <c r="CH27" i="9"/>
  <c r="Z27" i="9"/>
  <c r="BF27" i="9"/>
  <c r="CM27" i="9"/>
  <c r="BD23" i="9"/>
  <c r="AI23" i="9"/>
  <c r="L23" i="9"/>
  <c r="BX23" i="9"/>
  <c r="AU23" i="9"/>
  <c r="I23" i="9"/>
  <c r="AO23" i="9"/>
  <c r="BU23" i="9"/>
  <c r="N23" i="9"/>
  <c r="AT23" i="9"/>
  <c r="BZ23" i="9"/>
  <c r="CG33" i="9"/>
  <c r="DC16" i="19" s="1"/>
  <c r="CG39" i="9"/>
  <c r="DC22" i="19" s="1"/>
  <c r="CG23" i="9"/>
  <c r="DC6" i="19" s="1"/>
  <c r="BC26" i="9"/>
  <c r="Z26" i="9"/>
  <c r="CM26" i="9"/>
  <c r="BO26" i="9"/>
  <c r="AL26" i="9"/>
  <c r="H26" i="9"/>
  <c r="AN26" i="9"/>
  <c r="BT26" i="9"/>
  <c r="M26" i="9"/>
  <c r="AS26" i="9"/>
  <c r="BY26" i="9"/>
  <c r="AI22" i="9"/>
  <c r="F22" i="9"/>
  <c r="BR22" i="9"/>
  <c r="AM22" i="9"/>
  <c r="J22" i="9"/>
  <c r="BV22" i="9"/>
  <c r="AB22" i="9"/>
  <c r="BH22" i="9"/>
  <c r="CO22" i="9"/>
  <c r="AG22" i="9"/>
  <c r="BM22" i="9"/>
  <c r="L36" i="9"/>
  <c r="AN36" i="9"/>
  <c r="AG36" i="9"/>
  <c r="CO36" i="9"/>
  <c r="BL36" i="9"/>
  <c r="CH36" i="9"/>
  <c r="Z36" i="9"/>
  <c r="BF36" i="9"/>
  <c r="CM36" i="9"/>
  <c r="AE36" i="9"/>
  <c r="BK36" i="9"/>
  <c r="CR36" i="9"/>
  <c r="BI32" i="9"/>
  <c r="AN32" i="9"/>
  <c r="Q32" i="9"/>
  <c r="CC32" i="9"/>
  <c r="BH32" i="9"/>
  <c r="N32" i="9"/>
  <c r="AT32" i="9"/>
  <c r="BZ32" i="9"/>
  <c r="S32" i="9"/>
  <c r="AY32" i="9"/>
  <c r="CE32" i="9"/>
  <c r="AO28" i="9"/>
  <c r="T28" i="9"/>
  <c r="CF28" i="9"/>
  <c r="BA28" i="9"/>
  <c r="X28" i="9"/>
  <c r="CK28" i="9"/>
  <c r="AH28" i="9"/>
  <c r="BN28" i="9"/>
  <c r="G28" i="9"/>
  <c r="AM28" i="9"/>
  <c r="BS28" i="9"/>
  <c r="M24" i="9"/>
  <c r="BY24" i="9"/>
  <c r="AV24" i="9"/>
  <c r="Y24" i="9"/>
  <c r="CL24" i="9"/>
  <c r="BP24" i="9"/>
  <c r="V24" i="9"/>
  <c r="BB24" i="9"/>
  <c r="CI24" i="9"/>
  <c r="AA24" i="9"/>
  <c r="BG24" i="9"/>
  <c r="CN24" i="9"/>
  <c r="CN39" i="9"/>
  <c r="BW39" i="9"/>
  <c r="T39" i="9"/>
  <c r="BJ39" i="9"/>
  <c r="Q39" i="9"/>
  <c r="BC39" i="9"/>
  <c r="N39" i="9"/>
  <c r="AX39" i="9"/>
  <c r="AZ39" i="9"/>
  <c r="CF39" i="9"/>
  <c r="BM39" i="9"/>
  <c r="W35" i="9"/>
  <c r="BS35" i="9"/>
  <c r="AQ35" i="9"/>
  <c r="T35" i="9"/>
  <c r="CF35" i="9"/>
  <c r="BD35" i="9"/>
  <c r="Q35" i="9"/>
  <c r="AW35" i="9"/>
  <c r="CC35" i="9"/>
  <c r="V35" i="9"/>
  <c r="BB35" i="9"/>
  <c r="CI35" i="9"/>
  <c r="AV31" i="9"/>
  <c r="AA31" i="9"/>
  <c r="CN31" i="9"/>
  <c r="BP31" i="9"/>
  <c r="AM31" i="9"/>
  <c r="E31" i="9"/>
  <c r="AK31" i="9"/>
  <c r="BQ31" i="9"/>
  <c r="J31" i="9"/>
  <c r="AP31" i="9"/>
  <c r="BV31" i="9"/>
  <c r="AB27" i="9"/>
  <c r="CO27" i="9"/>
  <c r="BK27" i="9"/>
  <c r="AF27" i="9"/>
  <c r="K27" i="9"/>
  <c r="BW27" i="9"/>
  <c r="Y27" i="9"/>
  <c r="BE27" i="9"/>
  <c r="CL27" i="9"/>
  <c r="AD27" i="9"/>
  <c r="BJ27" i="9"/>
  <c r="CQ27" i="9"/>
  <c r="BL23" i="9"/>
  <c r="AQ23" i="9"/>
  <c r="T23" i="9"/>
  <c r="CF23" i="9"/>
  <c r="BC23" i="9"/>
  <c r="M23" i="9"/>
  <c r="AS23" i="9"/>
  <c r="BY23" i="9"/>
  <c r="R23" i="9"/>
  <c r="AX23" i="9"/>
  <c r="CD23" i="9"/>
  <c r="CG24" i="9"/>
  <c r="DC7" i="19" s="1"/>
  <c r="AH26" i="9"/>
  <c r="K26" i="9"/>
  <c r="BW26" i="9"/>
  <c r="AT26" i="9"/>
  <c r="L26" i="9"/>
  <c r="AR26" i="9"/>
  <c r="BX26" i="9"/>
  <c r="Q26" i="9"/>
  <c r="AW26" i="9"/>
  <c r="CC26" i="9"/>
  <c r="AQ22" i="9"/>
  <c r="N22" i="9"/>
  <c r="BZ22" i="9"/>
  <c r="AU22" i="9"/>
  <c r="R22" i="9"/>
  <c r="CD22" i="9"/>
  <c r="AF22" i="9"/>
  <c r="BL22" i="9"/>
  <c r="E22" i="9"/>
  <c r="AK22" i="9"/>
  <c r="BQ22" i="9"/>
  <c r="AR36" i="9"/>
  <c r="AV36" i="9"/>
  <c r="AO36" i="9"/>
  <c r="E36" i="9"/>
  <c r="CB36" i="9"/>
  <c r="CL36" i="9"/>
  <c r="AD36" i="9"/>
  <c r="BJ36" i="9"/>
  <c r="CQ36" i="9"/>
  <c r="AI36" i="9"/>
  <c r="BO36" i="9"/>
  <c r="E32" i="9"/>
  <c r="BQ32" i="9"/>
  <c r="AV32" i="9"/>
  <c r="Y32" i="9"/>
  <c r="CP32" i="9"/>
  <c r="BP32" i="9"/>
  <c r="R32" i="9"/>
  <c r="AX32" i="9"/>
  <c r="CD32" i="9"/>
  <c r="W32" i="9"/>
  <c r="BC32" i="9"/>
  <c r="CJ32" i="9"/>
  <c r="AW28" i="9"/>
  <c r="AB28" i="9"/>
  <c r="CO28" i="9"/>
  <c r="BI28" i="9"/>
  <c r="AF28" i="9"/>
  <c r="F28" i="9"/>
  <c r="AL28" i="9"/>
  <c r="BR28" i="9"/>
  <c r="K28" i="9"/>
  <c r="AQ28" i="9"/>
  <c r="BW28" i="9"/>
  <c r="U24" i="9"/>
  <c r="CH24" i="9"/>
  <c r="BD24" i="9"/>
  <c r="AG24" i="9"/>
  <c r="L24" i="9"/>
  <c r="BX24" i="9"/>
  <c r="Z24" i="9"/>
  <c r="BF24" i="9"/>
  <c r="CM24" i="9"/>
  <c r="AE24" i="9"/>
  <c r="BK24" i="9"/>
  <c r="CR24" i="9"/>
  <c r="G39" i="9"/>
  <c r="O39" i="9"/>
  <c r="X39" i="9"/>
  <c r="BR39" i="9"/>
  <c r="U39" i="9"/>
  <c r="BK39" i="9"/>
  <c r="R39" i="9"/>
  <c r="BF39" i="9"/>
  <c r="BD39" i="9"/>
  <c r="CK39" i="9"/>
  <c r="BQ39" i="9"/>
  <c r="BC35" i="9"/>
  <c r="O35" i="9"/>
  <c r="AY35" i="9"/>
  <c r="AB35" i="9"/>
  <c r="CO35" i="9"/>
  <c r="BL35" i="9"/>
  <c r="U35" i="9"/>
  <c r="BA35" i="9"/>
  <c r="CH35" i="9"/>
  <c r="Z35" i="9"/>
  <c r="BF35" i="9"/>
  <c r="CM35" i="9"/>
  <c r="BD31" i="9"/>
  <c r="AI31" i="9"/>
  <c r="L31" i="9"/>
  <c r="BX31" i="9"/>
  <c r="AU31" i="9"/>
  <c r="I31" i="9"/>
  <c r="AO31" i="9"/>
  <c r="BU31" i="9"/>
  <c r="N31" i="9"/>
  <c r="AT31" i="9"/>
  <c r="BZ31" i="9"/>
  <c r="AJ27" i="9"/>
  <c r="G27" i="9"/>
  <c r="BS27" i="9"/>
  <c r="AN27" i="9"/>
  <c r="S27" i="9"/>
  <c r="CE27" i="9"/>
  <c r="AC27" i="9"/>
  <c r="BI27" i="9"/>
  <c r="CP27" i="9"/>
  <c r="AH27" i="9"/>
  <c r="BN27" i="9"/>
  <c r="H23" i="9"/>
  <c r="BT23" i="9"/>
  <c r="AY23" i="9"/>
  <c r="AB23" i="9"/>
  <c r="CO23" i="9"/>
  <c r="BK23" i="9"/>
  <c r="Q23" i="9"/>
  <c r="AW23" i="9"/>
  <c r="CC23" i="9"/>
  <c r="V23" i="9"/>
  <c r="BB23" i="9"/>
  <c r="CI23" i="9"/>
  <c r="CG29" i="9"/>
  <c r="DC12" i="19" s="1"/>
  <c r="CG35" i="9"/>
  <c r="DC18" i="19" s="1"/>
  <c r="AP26" i="9"/>
  <c r="S26" i="9"/>
  <c r="CE26" i="9"/>
  <c r="BB26" i="9"/>
  <c r="P26" i="9"/>
  <c r="AV26" i="9"/>
  <c r="CB26" i="9"/>
  <c r="U26" i="9"/>
  <c r="BA26" i="9"/>
  <c r="CH26" i="9"/>
  <c r="AY22" i="9"/>
  <c r="V22" i="9"/>
  <c r="CI22" i="9"/>
  <c r="BC22" i="9"/>
  <c r="Z22" i="9"/>
  <c r="CM22" i="9"/>
  <c r="AJ22" i="9"/>
  <c r="BP22" i="9"/>
  <c r="I22" i="9"/>
  <c r="AO22" i="9"/>
  <c r="BU22" i="9"/>
  <c r="T36" i="9"/>
  <c r="BD36" i="9"/>
  <c r="AW36" i="9"/>
  <c r="M36" i="9"/>
  <c r="BI36" i="9"/>
  <c r="CP36" i="9"/>
  <c r="AH36" i="9"/>
  <c r="BN36" i="9"/>
  <c r="G36" i="9"/>
  <c r="AM36" i="9"/>
  <c r="BS36" i="9"/>
  <c r="M32" i="9"/>
  <c r="BY32" i="9"/>
  <c r="BD32" i="9"/>
  <c r="AG32" i="9"/>
  <c r="L32" i="9"/>
  <c r="BX32" i="9"/>
  <c r="V32" i="9"/>
  <c r="BB32" i="9"/>
  <c r="CI32" i="9"/>
  <c r="AA32" i="9"/>
  <c r="BG32" i="9"/>
  <c r="CN32" i="9"/>
  <c r="BE28" i="9"/>
  <c r="AJ28" i="9"/>
  <c r="E28" i="9"/>
  <c r="BQ28" i="9"/>
  <c r="AN28" i="9"/>
  <c r="J28" i="9"/>
  <c r="AP28" i="9"/>
  <c r="BV28" i="9"/>
  <c r="O28" i="9"/>
  <c r="AU28" i="9"/>
  <c r="CA28" i="9"/>
  <c r="AC24" i="9"/>
  <c r="CP24" i="9"/>
  <c r="BL24" i="9"/>
  <c r="AO24" i="9"/>
  <c r="T24" i="9"/>
  <c r="CF24" i="9"/>
  <c r="AD24" i="9"/>
  <c r="BJ24" i="9"/>
  <c r="CQ24" i="9"/>
  <c r="AI24" i="9"/>
  <c r="BO24" i="9"/>
  <c r="W39" i="9"/>
  <c r="AE39" i="9"/>
  <c r="AB39" i="9"/>
  <c r="BZ39" i="9"/>
  <c r="Y39" i="9"/>
  <c r="BS39" i="9"/>
  <c r="V39" i="9"/>
  <c r="BN39" i="9"/>
  <c r="BH39" i="9"/>
  <c r="CO39" i="9"/>
  <c r="BU39" i="9"/>
  <c r="CJ35" i="9"/>
  <c r="AU35" i="9"/>
  <c r="BG35" i="9"/>
  <c r="AJ35" i="9"/>
  <c r="H35" i="9"/>
  <c r="BT35" i="9"/>
  <c r="Y35" i="9"/>
  <c r="BE35" i="9"/>
  <c r="CL35" i="9"/>
  <c r="AD35" i="9"/>
  <c r="BJ35" i="9"/>
  <c r="CQ35" i="9"/>
  <c r="BL31" i="9"/>
  <c r="AQ31" i="9"/>
  <c r="T31" i="9"/>
  <c r="CF31" i="9"/>
  <c r="BC31" i="9"/>
  <c r="M31" i="9"/>
  <c r="AS31" i="9"/>
  <c r="BY31" i="9"/>
  <c r="R31" i="9"/>
  <c r="AX31" i="9"/>
  <c r="CD31" i="9"/>
  <c r="AR27" i="9"/>
  <c r="O27" i="9"/>
  <c r="CA27" i="9"/>
  <c r="AV27" i="9"/>
  <c r="AA27" i="9"/>
  <c r="CN27" i="9"/>
  <c r="AG27" i="9"/>
  <c r="BM27" i="9"/>
  <c r="F27" i="9"/>
  <c r="AL27" i="9"/>
  <c r="BR27" i="9"/>
  <c r="P23" i="9"/>
  <c r="CB23" i="9"/>
  <c r="BG23" i="9"/>
  <c r="AJ23" i="9"/>
  <c r="G23" i="9"/>
  <c r="BS23" i="9"/>
  <c r="U23" i="9"/>
  <c r="BA23" i="9"/>
  <c r="CH23" i="9"/>
  <c r="Z23" i="9"/>
  <c r="BF23" i="9"/>
  <c r="CM23" i="9"/>
  <c r="CG36" i="9"/>
  <c r="DC19" i="19" s="1"/>
  <c r="AZ36" i="9"/>
  <c r="BP36" i="9"/>
  <c r="BE36" i="9"/>
  <c r="U36" i="9"/>
  <c r="BM36" i="9"/>
  <c r="F36" i="9"/>
  <c r="AL36" i="9"/>
  <c r="BR36" i="9"/>
  <c r="K36" i="9"/>
  <c r="AQ36" i="9"/>
  <c r="BW36" i="9"/>
  <c r="U32" i="9"/>
  <c r="CK32" i="9"/>
  <c r="BL32" i="9"/>
  <c r="AO32" i="9"/>
  <c r="T32" i="9"/>
  <c r="CH32" i="9"/>
  <c r="Z32" i="9"/>
  <c r="BF32" i="9"/>
  <c r="CM32" i="9"/>
  <c r="AE32" i="9"/>
  <c r="BK32" i="9"/>
  <c r="CR32" i="9"/>
  <c r="BM28" i="9"/>
  <c r="AR28" i="9"/>
  <c r="M28" i="9"/>
  <c r="BY28" i="9"/>
  <c r="AV28" i="9"/>
  <c r="N28" i="9"/>
  <c r="AT28" i="9"/>
  <c r="BZ28" i="9"/>
  <c r="S28" i="9"/>
  <c r="AY28" i="9"/>
  <c r="CE28" i="9"/>
  <c r="AK24" i="9"/>
  <c r="H24" i="9"/>
  <c r="BT24" i="9"/>
  <c r="AW24" i="9"/>
  <c r="AB24" i="9"/>
  <c r="CO24" i="9"/>
  <c r="AH24" i="9"/>
  <c r="BN24" i="9"/>
  <c r="G24" i="9"/>
  <c r="AM24" i="9"/>
  <c r="BS24" i="9"/>
  <c r="AM39" i="9"/>
  <c r="AY39" i="9"/>
  <c r="AF39" i="9"/>
  <c r="CI39" i="9"/>
  <c r="AC39" i="9"/>
  <c r="CA39" i="9"/>
  <c r="Z39" i="9"/>
  <c r="BV39" i="9"/>
  <c r="BL39" i="9"/>
  <c r="AS39" i="9"/>
  <c r="BY39" i="9"/>
  <c r="AE35" i="9"/>
  <c r="CA35" i="9"/>
  <c r="BO35" i="9"/>
  <c r="AR35" i="9"/>
  <c r="P35" i="9"/>
  <c r="CB35" i="9"/>
  <c r="AC35" i="9"/>
  <c r="BI35" i="9"/>
  <c r="CP35" i="9"/>
  <c r="AH35" i="9"/>
  <c r="BN35" i="9"/>
  <c r="H31" i="9"/>
  <c r="BT31" i="9"/>
  <c r="AY31" i="9"/>
  <c r="AB31" i="9"/>
  <c r="CO31" i="9"/>
  <c r="BK31" i="9"/>
  <c r="Q31" i="9"/>
  <c r="AW31" i="9"/>
  <c r="CC31" i="9"/>
  <c r="V31" i="9"/>
  <c r="BB31" i="9"/>
  <c r="CI31" i="9"/>
  <c r="AZ27" i="9"/>
  <c r="W27" i="9"/>
  <c r="CJ27" i="9"/>
  <c r="BD27" i="9"/>
  <c r="AI27" i="9"/>
  <c r="E27" i="9"/>
  <c r="AK27" i="9"/>
  <c r="BQ27" i="9"/>
  <c r="J27" i="9"/>
  <c r="AP27" i="9"/>
  <c r="BV27" i="9"/>
  <c r="X23" i="9"/>
  <c r="CK23" i="9"/>
  <c r="BO23" i="9"/>
  <c r="AR23" i="9"/>
  <c r="O23" i="9"/>
  <c r="CA23" i="9"/>
  <c r="Y23" i="9"/>
  <c r="BE23" i="9"/>
  <c r="CL23" i="9"/>
  <c r="AD23" i="9"/>
  <c r="BJ23" i="9"/>
  <c r="CQ23" i="9"/>
  <c r="CG25" i="9"/>
  <c r="DC8" i="19" s="1"/>
  <c r="CG38" i="9"/>
  <c r="DC21" i="19" s="1"/>
  <c r="CG31" i="9"/>
  <c r="DC14" i="19" s="1"/>
  <c r="CG34" i="9"/>
  <c r="DC17" i="19" s="1"/>
  <c r="H36" i="9"/>
  <c r="CF36" i="9"/>
  <c r="BT36" i="9"/>
  <c r="AC36" i="9"/>
  <c r="BQ36" i="9"/>
  <c r="J36" i="9"/>
  <c r="AP36" i="9"/>
  <c r="BV36" i="9"/>
  <c r="O36" i="9"/>
  <c r="AU36" i="9"/>
  <c r="CA36" i="9"/>
  <c r="AC32" i="9"/>
  <c r="H32" i="9"/>
  <c r="BT32" i="9"/>
  <c r="AW32" i="9"/>
  <c r="AB32" i="9"/>
  <c r="CF32" i="9"/>
  <c r="AD32" i="9"/>
  <c r="BJ32" i="9"/>
  <c r="CQ32" i="9"/>
  <c r="AI32" i="9"/>
  <c r="BO32" i="9"/>
  <c r="I28" i="9"/>
  <c r="BU28" i="9"/>
  <c r="AZ28" i="9"/>
  <c r="U28" i="9"/>
  <c r="CH28" i="9"/>
  <c r="BD28" i="9"/>
  <c r="R28" i="9"/>
  <c r="AX28" i="9"/>
  <c r="CD28" i="9"/>
  <c r="W28" i="9"/>
  <c r="BC28" i="9"/>
  <c r="CJ28" i="9"/>
  <c r="AS24" i="9"/>
  <c r="P24" i="9"/>
  <c r="CB24" i="9"/>
  <c r="BE24" i="9"/>
  <c r="AJ24" i="9"/>
  <c r="F24" i="9"/>
  <c r="AL24" i="9"/>
  <c r="BR24" i="9"/>
  <c r="K24" i="9"/>
  <c r="AQ24" i="9"/>
  <c r="BW24" i="9"/>
  <c r="BO39" i="9"/>
  <c r="CE39" i="9"/>
  <c r="AJ39" i="9"/>
  <c r="CQ39" i="9"/>
  <c r="AG39" i="9"/>
  <c r="CJ39" i="9"/>
  <c r="AD39" i="9"/>
  <c r="CD39" i="9"/>
  <c r="BP39" i="9"/>
  <c r="AW39" i="9"/>
  <c r="CC39" i="9"/>
  <c r="BK35" i="9"/>
  <c r="K35" i="9"/>
  <c r="BW35" i="9"/>
  <c r="AZ35" i="9"/>
  <c r="X35" i="9"/>
  <c r="CK35" i="9"/>
  <c r="AG35" i="9"/>
  <c r="BM35" i="9"/>
  <c r="F35" i="9"/>
  <c r="AL35" i="9"/>
  <c r="BR35" i="9"/>
  <c r="P31" i="9"/>
  <c r="CB31" i="9"/>
  <c r="BG31" i="9"/>
  <c r="AJ31" i="9"/>
  <c r="G31" i="9"/>
  <c r="BS31" i="9"/>
  <c r="U31" i="9"/>
  <c r="BA31" i="9"/>
  <c r="CH31" i="9"/>
  <c r="Z31" i="9"/>
  <c r="BF31" i="9"/>
  <c r="CM31" i="9"/>
  <c r="BH27" i="9"/>
  <c r="AE27" i="9"/>
  <c r="CR27" i="9"/>
  <c r="BL27" i="9"/>
  <c r="AQ27" i="9"/>
  <c r="I27" i="9"/>
  <c r="AO27" i="9"/>
  <c r="BU27" i="9"/>
  <c r="N27" i="9"/>
  <c r="AT27" i="9"/>
  <c r="BZ27" i="9"/>
  <c r="AF23" i="9"/>
  <c r="K23" i="9"/>
  <c r="BW23" i="9"/>
  <c r="AZ23" i="9"/>
  <c r="W23" i="9"/>
  <c r="CJ23" i="9"/>
  <c r="AC23" i="9"/>
  <c r="BI23" i="9"/>
  <c r="CP23" i="9"/>
  <c r="AH23" i="9"/>
  <c r="BN23" i="9"/>
  <c r="CG32" i="9"/>
  <c r="DC15" i="19" s="1"/>
  <c r="CG26" i="9"/>
  <c r="DC9" i="19" s="1"/>
  <c r="K14" i="18"/>
  <c r="Y20" i="9"/>
  <c r="CL20" i="9"/>
  <c r="BP20" i="9"/>
  <c r="AK20" i="9"/>
  <c r="H20" i="9"/>
  <c r="BT20" i="9"/>
  <c r="Z20" i="9"/>
  <c r="BF20" i="9"/>
  <c r="CM20" i="9"/>
  <c r="AE20" i="9"/>
  <c r="BK20" i="9"/>
  <c r="CR20" i="9"/>
  <c r="AG20" i="9"/>
  <c r="L20" i="9"/>
  <c r="BX20" i="9"/>
  <c r="AS20" i="9"/>
  <c r="P20" i="9"/>
  <c r="CB20" i="9"/>
  <c r="AD20" i="9"/>
  <c r="BJ20" i="9"/>
  <c r="CQ20" i="9"/>
  <c r="AI20" i="9"/>
  <c r="BO20" i="9"/>
  <c r="K14" i="22"/>
  <c r="AO20" i="9"/>
  <c r="T20" i="9"/>
  <c r="CF20" i="9"/>
  <c r="BA20" i="9"/>
  <c r="X20" i="9"/>
  <c r="CK20" i="9"/>
  <c r="AH20" i="9"/>
  <c r="BN20" i="9"/>
  <c r="G20" i="9"/>
  <c r="AM20" i="9"/>
  <c r="BS20" i="9"/>
  <c r="AW20" i="9"/>
  <c r="AB20" i="9"/>
  <c r="CO20" i="9"/>
  <c r="BI20" i="9"/>
  <c r="AF20" i="9"/>
  <c r="F20" i="9"/>
  <c r="AL20" i="9"/>
  <c r="BR20" i="9"/>
  <c r="K20" i="9"/>
  <c r="AQ20" i="9"/>
  <c r="BW20" i="9"/>
  <c r="BE20" i="9"/>
  <c r="AJ20" i="9"/>
  <c r="E20" i="9"/>
  <c r="BQ20" i="9"/>
  <c r="AN20" i="9"/>
  <c r="J20" i="9"/>
  <c r="AP20" i="9"/>
  <c r="BV20" i="9"/>
  <c r="O20" i="9"/>
  <c r="AU20" i="9"/>
  <c r="CA20" i="9"/>
  <c r="K14" i="15"/>
  <c r="BM20" i="9"/>
  <c r="AR20" i="9"/>
  <c r="M20" i="9"/>
  <c r="BY20" i="9"/>
  <c r="AV20" i="9"/>
  <c r="N20" i="9"/>
  <c r="AT20" i="9"/>
  <c r="BZ20" i="9"/>
  <c r="S20" i="9"/>
  <c r="AY20" i="9"/>
  <c r="CE20" i="9"/>
  <c r="K14" i="5"/>
  <c r="I20" i="9"/>
  <c r="BU20" i="9"/>
  <c r="AZ20" i="9"/>
  <c r="U20" i="9"/>
  <c r="CH20" i="9"/>
  <c r="BD20" i="9"/>
  <c r="R20" i="9"/>
  <c r="AX20" i="9"/>
  <c r="CD20" i="9"/>
  <c r="W20" i="9"/>
  <c r="BC20" i="9"/>
  <c r="CJ20" i="9"/>
  <c r="Q20" i="9"/>
  <c r="CC20" i="9"/>
  <c r="BH20" i="9"/>
  <c r="AC20" i="9"/>
  <c r="CP20" i="9"/>
  <c r="BL20" i="9"/>
  <c r="V20" i="9"/>
  <c r="BB20" i="9"/>
  <c r="CI20" i="9"/>
  <c r="AA20" i="9"/>
  <c r="BG20" i="9"/>
  <c r="CN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L10" i="9"/>
  <c r="P8" i="9"/>
  <c r="P9"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G1692" i="21"/>
  <c r="AH55" i="9"/>
  <c r="BL55" i="9"/>
  <c r="BX55" i="9"/>
  <c r="AZ55" i="9"/>
  <c r="BW55" i="9"/>
  <c r="H134" i="14"/>
  <c r="T55" i="9"/>
  <c r="G172" i="14"/>
  <c r="G628" i="14"/>
  <c r="J704" i="14"/>
  <c r="F210" i="14"/>
  <c r="AS55" i="9"/>
  <c r="AM55" i="9"/>
  <c r="J55" i="9"/>
  <c r="F172" i="14"/>
  <c r="CR55" i="9"/>
  <c r="I248" i="14"/>
  <c r="BQ55" i="9"/>
  <c r="H362" i="14"/>
  <c r="BV55" i="9"/>
  <c r="G134" i="14"/>
  <c r="BT55" i="9"/>
  <c r="G172" i="15"/>
  <c r="H704" i="14"/>
  <c r="J172" i="15"/>
  <c r="I1692" i="21"/>
  <c r="F362" i="14"/>
  <c r="AU55" i="9"/>
  <c r="CK55" i="9"/>
  <c r="BC55" i="9"/>
  <c r="AD55" i="9"/>
  <c r="AG55" i="9"/>
  <c r="F400" i="14"/>
  <c r="G704" i="14"/>
  <c r="BK55" i="9"/>
  <c r="H514" i="14"/>
  <c r="Q55" i="9"/>
  <c r="F96" i="14"/>
  <c r="CE55" i="9"/>
  <c r="AA55" i="9"/>
  <c r="G210" i="14"/>
  <c r="BE55" i="9"/>
  <c r="N55" i="9"/>
  <c r="H172" i="14"/>
  <c r="J362" i="14"/>
  <c r="BJ55" i="9"/>
  <c r="BU55" i="9"/>
  <c r="G55" i="9"/>
  <c r="CD55" i="9"/>
  <c r="CM55" i="9"/>
  <c r="BG55" i="9"/>
  <c r="H286" i="14"/>
  <c r="M55" i="9"/>
  <c r="J1882" i="22"/>
  <c r="AI55" i="9"/>
  <c r="I362" i="14"/>
  <c r="BN55" i="9"/>
  <c r="CJ55" i="9"/>
  <c r="H400" i="14"/>
  <c r="BS55" i="9"/>
  <c r="G362" i="14"/>
  <c r="Y55" i="9"/>
  <c r="P55" i="9"/>
  <c r="G400" i="14"/>
  <c r="J172" i="14"/>
  <c r="G248" i="14"/>
  <c r="BM55" i="9"/>
  <c r="H1692" i="21"/>
  <c r="J666" i="14"/>
  <c r="V55" i="9"/>
  <c r="L55" i="9"/>
  <c r="AP55" i="9"/>
  <c r="BZ55" i="9"/>
  <c r="CA55" i="9"/>
  <c r="H210" i="14"/>
  <c r="H172" i="15"/>
  <c r="I96" i="14"/>
  <c r="G134" i="15"/>
  <c r="H324" i="14"/>
  <c r="H666" i="14"/>
  <c r="AC55" i="9"/>
  <c r="F172" i="15"/>
  <c r="AT55" i="9"/>
  <c r="J514" i="14"/>
  <c r="BB55" i="9"/>
  <c r="AL55" i="9"/>
  <c r="J210" i="14"/>
  <c r="I134" i="14"/>
  <c r="Z55" i="9"/>
  <c r="BA55" i="9"/>
  <c r="H1882" i="22"/>
  <c r="AN55" i="9"/>
  <c r="J248" i="14"/>
  <c r="F134" i="15"/>
  <c r="BO55" i="9"/>
  <c r="AB55" i="9"/>
  <c r="G666" i="14"/>
  <c r="X55" i="9"/>
  <c r="BF55" i="9"/>
  <c r="AY55" i="9"/>
  <c r="F628" i="14"/>
  <c r="R55" i="9"/>
  <c r="J1692" i="21"/>
  <c r="H55" i="9"/>
  <c r="CC55" i="9"/>
  <c r="O55" i="9"/>
  <c r="I704" i="14"/>
  <c r="CN55" i="9"/>
  <c r="H134" i="15"/>
  <c r="I514" i="14"/>
  <c r="F286" i="14"/>
  <c r="G514" i="14"/>
  <c r="U55" i="9"/>
  <c r="J400" i="14"/>
  <c r="H96" i="14"/>
  <c r="F248" i="14"/>
  <c r="I628" i="14"/>
  <c r="J134" i="15"/>
  <c r="W55" i="9"/>
  <c r="F134" i="14"/>
  <c r="F1692" i="21"/>
  <c r="F1882" i="22"/>
  <c r="AO55" i="9"/>
  <c r="AR55" i="9"/>
  <c r="F666" i="14"/>
  <c r="J96" i="14"/>
  <c r="CO55" i="9"/>
  <c r="BD55" i="9"/>
  <c r="AE55" i="9"/>
  <c r="CG55" i="9"/>
  <c r="K55" i="9"/>
  <c r="J628" i="14"/>
  <c r="I666" i="14"/>
  <c r="E55" i="9"/>
  <c r="I172" i="14"/>
  <c r="CL55" i="9"/>
  <c r="J324" i="14"/>
  <c r="H248" i="14"/>
  <c r="CF55" i="9"/>
  <c r="F324" i="14"/>
  <c r="CI55" i="9"/>
  <c r="G286" i="14"/>
  <c r="S55" i="9"/>
  <c r="BP55" i="9"/>
  <c r="BI55" i="9"/>
  <c r="AV55" i="9"/>
  <c r="AW55" i="9"/>
  <c r="AX55" i="9"/>
  <c r="I324" i="14"/>
  <c r="AK55" i="9"/>
  <c r="F704" i="14"/>
  <c r="BY55" i="9"/>
  <c r="AJ55" i="9"/>
  <c r="AQ55" i="9"/>
  <c r="G1882" i="22"/>
  <c r="G324" i="14"/>
  <c r="F55" i="9"/>
  <c r="I286" i="14"/>
  <c r="I400" i="14"/>
  <c r="CB55" i="9"/>
  <c r="F514" i="14"/>
  <c r="I1882" i="22"/>
  <c r="BR55" i="9"/>
  <c r="G96" i="14"/>
  <c r="I210" i="14"/>
  <c r="BH55" i="9"/>
  <c r="J134" i="14"/>
  <c r="H628" i="14"/>
  <c r="I134" i="15"/>
  <c r="J286" i="14"/>
  <c r="CP55" i="9"/>
  <c r="CQ55" i="9"/>
  <c r="I172" i="15"/>
  <c r="CH55" i="9"/>
  <c r="AF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540" i="22"/>
  <c r="F1122" i="22"/>
  <c r="I970" i="21"/>
  <c r="H970" i="21"/>
  <c r="G1578" i="22"/>
  <c r="J1122" i="22"/>
  <c r="H1426" i="22"/>
  <c r="H1616" i="21"/>
  <c r="J970" i="22"/>
  <c r="J1350" i="21"/>
  <c r="I1350" i="21"/>
  <c r="I970" i="22"/>
  <c r="I1844" i="22"/>
  <c r="F1426" i="22"/>
  <c r="G1350" i="21"/>
  <c r="I1426" i="22"/>
  <c r="J1540" i="22"/>
  <c r="J1616" i="21"/>
  <c r="G1616" i="21"/>
  <c r="H1350" i="21"/>
  <c r="H1654" i="21"/>
  <c r="I1654" i="21"/>
  <c r="J1426" i="22"/>
  <c r="F1540" i="22"/>
  <c r="F970" i="22"/>
  <c r="G1540" i="22"/>
  <c r="G970" i="22"/>
  <c r="I1540" i="22"/>
  <c r="H1122" i="22"/>
  <c r="H1578" i="22"/>
  <c r="G970" i="21"/>
  <c r="G1654" i="21"/>
  <c r="F970" i="21"/>
  <c r="G1122" i="22"/>
  <c r="J1654" i="21"/>
  <c r="J1578" i="22"/>
  <c r="F1844" i="22"/>
  <c r="I1122" i="22"/>
  <c r="I1008" i="22"/>
  <c r="J1008" i="22"/>
  <c r="G1008" i="22"/>
  <c r="H1008" i="22"/>
  <c r="F1578" i="22"/>
  <c r="F1008" i="22"/>
  <c r="G1844" i="22"/>
  <c r="J1844" i="22"/>
  <c r="I1616" i="21"/>
  <c r="I1578" i="22"/>
  <c r="J970" i="21"/>
  <c r="F1350" i="21"/>
  <c r="H1844" i="22"/>
  <c r="F1654" i="21"/>
  <c r="H970" i="22"/>
  <c r="G1426" i="22"/>
  <c r="F1616"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1084" i="22"/>
  <c r="G58" i="13"/>
  <c r="H96" i="22"/>
  <c r="J514" i="22"/>
  <c r="I1350" i="22"/>
  <c r="H894" i="22"/>
  <c r="G1350" i="22"/>
  <c r="F400" i="21"/>
  <c r="H1274" i="21"/>
  <c r="H362" i="21"/>
  <c r="F96" i="18"/>
  <c r="F1616" i="22"/>
  <c r="J58" i="13"/>
  <c r="F1578" i="21"/>
  <c r="J286" i="15"/>
  <c r="H96" i="5"/>
  <c r="I1578" i="21"/>
  <c r="J96" i="15"/>
  <c r="I58" i="21"/>
  <c r="F552" i="22"/>
  <c r="J932" i="21"/>
  <c r="I96" i="5"/>
  <c r="J1236" i="21"/>
  <c r="F1198" i="21"/>
  <c r="I742" i="22"/>
  <c r="F1806" i="22"/>
  <c r="G58" i="14"/>
  <c r="G324" i="15"/>
  <c r="G514" i="21"/>
  <c r="I1008" i="21"/>
  <c r="G134" i="18"/>
  <c r="H932" i="22"/>
  <c r="G20" i="18"/>
  <c r="G96" i="5"/>
  <c r="G286" i="15"/>
  <c r="J1160" i="21"/>
  <c r="H324" i="15"/>
  <c r="J780" i="22"/>
  <c r="I1122" i="21"/>
  <c r="H96" i="15"/>
  <c r="F1274" i="21"/>
  <c r="G324" i="22"/>
  <c r="G438" i="22"/>
  <c r="I856" i="21"/>
  <c r="I780" i="22"/>
  <c r="J58" i="14"/>
  <c r="G1502" i="21"/>
  <c r="G248" i="22"/>
  <c r="J210" i="22"/>
  <c r="J1388" i="21"/>
  <c r="I20" i="13"/>
  <c r="F438" i="21"/>
  <c r="J780" i="21"/>
  <c r="I20" i="5"/>
  <c r="I96" i="18"/>
  <c r="H1692" i="22"/>
  <c r="J704" i="21"/>
  <c r="I1540" i="21"/>
  <c r="H248" i="21"/>
  <c r="I704" i="22"/>
  <c r="I818" i="22"/>
  <c r="G362" i="22"/>
  <c r="F172" i="21"/>
  <c r="G1236" i="22"/>
  <c r="F134" i="18"/>
  <c r="J1084" i="21"/>
  <c r="J438" i="21"/>
  <c r="J1008" i="21"/>
  <c r="J96" i="22"/>
  <c r="H20" i="18"/>
  <c r="I666" i="21"/>
  <c r="H1654" i="22"/>
  <c r="I134" i="22"/>
  <c r="G324" i="21"/>
  <c r="I96" i="13"/>
  <c r="G438" i="14"/>
  <c r="H476" i="21"/>
  <c r="I590" i="21"/>
  <c r="J400" i="22"/>
  <c r="G286" i="21"/>
  <c r="H58" i="22"/>
  <c r="G704" i="22"/>
  <c r="I248" i="21"/>
  <c r="H58" i="18"/>
  <c r="J932" i="22"/>
  <c r="H1350" i="22"/>
  <c r="F172" i="22"/>
  <c r="J1046" i="21"/>
  <c r="G172" i="21"/>
  <c r="H704" i="21"/>
  <c r="F1084" i="21"/>
  <c r="F932" i="22"/>
  <c r="J476" i="22"/>
  <c r="I780" i="21"/>
  <c r="J818" i="22"/>
  <c r="G96" i="18"/>
  <c r="I932" i="22"/>
  <c r="J818" i="21"/>
  <c r="H1806" i="22"/>
  <c r="H1578" i="21"/>
  <c r="H20" i="14"/>
  <c r="F742" i="21"/>
  <c r="H172" i="18"/>
  <c r="J58" i="5"/>
  <c r="F628" i="22"/>
  <c r="I1464" i="21"/>
  <c r="I1198" i="22"/>
  <c r="G172" i="22"/>
  <c r="F96" i="5"/>
  <c r="I210" i="5"/>
  <c r="H362" i="22"/>
  <c r="I818" i="21"/>
  <c r="F1654" i="22"/>
  <c r="I324" i="22"/>
  <c r="F20" i="13"/>
  <c r="H1426" i="21"/>
  <c r="F1464" i="21"/>
  <c r="G628" i="21"/>
  <c r="I704" i="21"/>
  <c r="F552" i="21"/>
  <c r="H134" i="21"/>
  <c r="I1274" i="22"/>
  <c r="H894" i="21"/>
  <c r="I552" i="21"/>
  <c r="J58" i="18"/>
  <c r="F1008" i="21"/>
  <c r="J476" i="14"/>
  <c r="H210" i="21"/>
  <c r="H172" i="22"/>
  <c r="G1046" i="22"/>
  <c r="F362" i="21"/>
  <c r="F20" i="15"/>
  <c r="H476" i="14"/>
  <c r="J248" i="22"/>
  <c r="G1768" i="22"/>
  <c r="H172" i="21"/>
  <c r="J476" i="21"/>
  <c r="F704" i="21"/>
  <c r="J856" i="22"/>
  <c r="H1236" i="21"/>
  <c r="G58" i="15"/>
  <c r="H248" i="15"/>
  <c r="I1502" i="22"/>
  <c r="H666" i="22"/>
  <c r="I96" i="22"/>
  <c r="G1464" i="21"/>
  <c r="J514" i="21"/>
  <c r="H1160" i="22"/>
  <c r="I58" i="15"/>
  <c r="J324" i="21"/>
  <c r="J96" i="13"/>
  <c r="G1312" i="21"/>
  <c r="G58" i="22"/>
  <c r="J1236" i="22"/>
  <c r="H780" i="22"/>
  <c r="H1084" i="22"/>
  <c r="J1046" i="22"/>
  <c r="H1388" i="21"/>
  <c r="J590" i="14"/>
  <c r="G58" i="21"/>
  <c r="F58" i="14"/>
  <c r="G894" i="22"/>
  <c r="H742" i="21"/>
  <c r="J1160" i="22"/>
  <c r="I1236" i="21"/>
  <c r="I286" i="22"/>
  <c r="H1388" i="22"/>
  <c r="F96" i="15"/>
  <c r="J20" i="18"/>
  <c r="J894" i="22"/>
  <c r="J134" i="18"/>
  <c r="I1312" i="21"/>
  <c r="H134" i="22"/>
  <c r="I20" i="15"/>
  <c r="G362" i="21"/>
  <c r="H476" i="22"/>
  <c r="J58" i="21"/>
  <c r="I1198" i="21"/>
  <c r="G1654" i="22"/>
  <c r="J894" i="21"/>
  <c r="G476" i="21"/>
  <c r="J438" i="22"/>
  <c r="H1502" i="22"/>
  <c r="I1236" i="22"/>
  <c r="J324" i="15"/>
  <c r="I286" i="21"/>
  <c r="G1160" i="21"/>
  <c r="J1464" i="21"/>
  <c r="I58" i="5"/>
  <c r="J1198" i="21"/>
  <c r="J248" i="21"/>
  <c r="G742" i="22"/>
  <c r="F590" i="22"/>
  <c r="J362" i="21"/>
  <c r="J1312" i="21"/>
  <c r="G248" i="15"/>
  <c r="F1084" i="22"/>
  <c r="I552" i="22"/>
  <c r="F1350" i="22"/>
  <c r="J172" i="5"/>
  <c r="I1046" i="22"/>
  <c r="G286" i="22"/>
  <c r="J210" i="5"/>
  <c r="J210" i="15"/>
  <c r="G780" i="22"/>
  <c r="I1312" i="22"/>
  <c r="F210" i="22"/>
  <c r="F286" i="22"/>
  <c r="J438" i="14"/>
  <c r="H856" i="21"/>
  <c r="J400" i="21"/>
  <c r="H1464" i="22"/>
  <c r="F1198" i="22"/>
  <c r="H1198" i="21"/>
  <c r="F856" i="22"/>
  <c r="I172" i="22"/>
  <c r="G172" i="18"/>
  <c r="H20" i="5"/>
  <c r="F134" i="21"/>
  <c r="F514" i="21"/>
  <c r="J666" i="22"/>
  <c r="H590" i="22"/>
  <c r="I172" i="21"/>
  <c r="H438" i="21"/>
  <c r="H780" i="21"/>
  <c r="G210" i="15"/>
  <c r="H134" i="18"/>
  <c r="I476" i="22"/>
  <c r="F590" i="14"/>
  <c r="I1388" i="22"/>
  <c r="H96" i="13"/>
  <c r="G1084" i="22"/>
  <c r="G552" i="14"/>
  <c r="G1540" i="21"/>
  <c r="I210" i="22"/>
  <c r="I134" i="21"/>
  <c r="G1198" i="22"/>
  <c r="G210" i="5"/>
  <c r="G1578" i="21"/>
  <c r="F20" i="18"/>
  <c r="H1198" i="22"/>
  <c r="H324" i="21"/>
  <c r="J1426" i="21"/>
  <c r="F514" i="22"/>
  <c r="F1312" i="21"/>
  <c r="I58" i="14"/>
  <c r="H1730" i="22"/>
  <c r="J856" i="21"/>
  <c r="H210" i="15"/>
  <c r="I438" i="21"/>
  <c r="G20" i="15"/>
  <c r="H20" i="22"/>
  <c r="H856" i="22"/>
  <c r="J1312" i="22"/>
  <c r="G1388" i="22"/>
  <c r="F324" i="21"/>
  <c r="G20" i="13"/>
  <c r="J20" i="13"/>
  <c r="I20" i="14"/>
  <c r="F58" i="5"/>
  <c r="I286" i="15"/>
  <c r="F248" i="22"/>
  <c r="G1046" i="21"/>
  <c r="G1692" i="22"/>
  <c r="H1008" i="21"/>
  <c r="I1426" i="21"/>
  <c r="F96" i="13"/>
  <c r="F894" i="22"/>
  <c r="J1084" i="22"/>
  <c r="F438" i="14"/>
  <c r="F20" i="14"/>
  <c r="G1274" i="21"/>
  <c r="G210" i="22"/>
  <c r="I96" i="15"/>
  <c r="J742" i="21"/>
  <c r="I1464" i="22"/>
  <c r="J1274" i="21"/>
  <c r="F1236" i="21"/>
  <c r="J172" i="18"/>
  <c r="G932" i="22"/>
  <c r="H628" i="22"/>
  <c r="H20" i="15"/>
  <c r="F210" i="15"/>
  <c r="J172" i="22"/>
  <c r="I666" i="22"/>
  <c r="I172" i="5"/>
  <c r="F818" i="22"/>
  <c r="H1122" i="21"/>
  <c r="J96" i="21"/>
  <c r="F1502" i="22"/>
  <c r="I894" i="22"/>
  <c r="F286" i="15"/>
  <c r="G20" i="5"/>
  <c r="G1502" i="22"/>
  <c r="J590" i="21"/>
  <c r="H96" i="21"/>
  <c r="G1730" i="22"/>
  <c r="G552" i="22"/>
  <c r="I628" i="21"/>
  <c r="J286" i="22"/>
  <c r="G1426" i="21"/>
  <c r="I248" i="22"/>
  <c r="I58" i="13"/>
  <c r="J1502" i="21"/>
  <c r="I438" i="14"/>
  <c r="F438" i="22"/>
  <c r="G590" i="22"/>
  <c r="F286" i="21"/>
  <c r="I476" i="21"/>
  <c r="G666" i="22"/>
  <c r="G1008" i="21"/>
  <c r="F1540" i="21"/>
  <c r="H552" i="14"/>
  <c r="J1198" i="22"/>
  <c r="H1084" i="21"/>
  <c r="H1236" i="22"/>
  <c r="F172" i="5"/>
  <c r="J1388" i="22"/>
  <c r="I590" i="22"/>
  <c r="G134" i="5"/>
  <c r="H210" i="5"/>
  <c r="G134" i="21"/>
  <c r="G1274" i="22"/>
  <c r="G514" i="22"/>
  <c r="G856" i="22"/>
  <c r="G1198" i="21"/>
  <c r="J286" i="21"/>
  <c r="F1388" i="21"/>
  <c r="J58" i="22"/>
  <c r="I210" i="15"/>
  <c r="H1464" i="21"/>
  <c r="J704" i="22"/>
  <c r="I1692" i="22"/>
  <c r="F780" i="21"/>
  <c r="J1806" i="22"/>
  <c r="H58" i="5"/>
  <c r="I362" i="22"/>
  <c r="H1312" i="21"/>
  <c r="F58" i="18"/>
  <c r="J134" i="5"/>
  <c r="I742" i="21"/>
  <c r="H552" i="22"/>
  <c r="F20" i="21"/>
  <c r="H286" i="15"/>
  <c r="J172" i="21"/>
  <c r="G1160" i="22"/>
  <c r="I590" i="14"/>
  <c r="J58" i="15"/>
  <c r="F1768" i="22"/>
  <c r="F1046" i="22"/>
  <c r="G438" i="21"/>
  <c r="I514" i="21"/>
  <c r="G476" i="22"/>
  <c r="F476" i="21"/>
  <c r="J20" i="14"/>
  <c r="G20" i="22"/>
  <c r="F20" i="5"/>
  <c r="F362" i="22"/>
  <c r="G1084" i="21"/>
  <c r="J1768" i="22"/>
  <c r="G590" i="14"/>
  <c r="I514" i="22"/>
  <c r="G400" i="21"/>
  <c r="J324" i="22"/>
  <c r="I1160" i="22"/>
  <c r="F1388" i="22"/>
  <c r="F248" i="21"/>
  <c r="H58" i="14"/>
  <c r="H1502" i="21"/>
  <c r="I1654" i="22"/>
  <c r="G818" i="21"/>
  <c r="I20" i="18"/>
  <c r="H438" i="22"/>
  <c r="G96" i="15"/>
  <c r="F666" i="21"/>
  <c r="F210" i="21"/>
  <c r="J552" i="21"/>
  <c r="F248" i="15"/>
  <c r="J742" i="22"/>
  <c r="I324" i="21"/>
  <c r="H58" i="21"/>
  <c r="J552" i="22"/>
  <c r="J362" i="22"/>
  <c r="H96" i="18"/>
  <c r="G1236" i="21"/>
  <c r="G1616" i="22"/>
  <c r="I1502" i="21"/>
  <c r="J20" i="5"/>
  <c r="H1160" i="21"/>
  <c r="I58" i="22"/>
  <c r="F134" i="22"/>
  <c r="J1730" i="22"/>
  <c r="J590" i="22"/>
  <c r="J20" i="22"/>
  <c r="J96" i="5"/>
  <c r="I894" i="21"/>
  <c r="H1768" i="22"/>
  <c r="J1502" i="22"/>
  <c r="J628" i="22"/>
  <c r="H590" i="14"/>
  <c r="J1274" i="22"/>
  <c r="I324" i="15"/>
  <c r="J1654" i="22"/>
  <c r="J134" i="22"/>
  <c r="I58" i="18"/>
  <c r="H552" i="21"/>
  <c r="H1312" i="22"/>
  <c r="F666" i="22"/>
  <c r="I476" i="14"/>
  <c r="H210" i="22"/>
  <c r="J248" i="15"/>
  <c r="F704" i="22"/>
  <c r="H704" i="22"/>
  <c r="G818" i="22"/>
  <c r="F58" i="13"/>
  <c r="J134" i="21"/>
  <c r="G58" i="18"/>
  <c r="J20" i="15"/>
  <c r="F1502" i="21"/>
  <c r="I1768" i="22"/>
  <c r="H1274" i="22"/>
  <c r="I248" i="15"/>
  <c r="I552" i="14"/>
  <c r="F210" i="5"/>
  <c r="G1388" i="21"/>
  <c r="H58" i="13"/>
  <c r="G932" i="21"/>
  <c r="I362" i="21"/>
  <c r="H742" i="22"/>
  <c r="G894" i="21"/>
  <c r="I210" i="21"/>
  <c r="F324" i="15"/>
  <c r="G210" i="21"/>
  <c r="I134" i="5"/>
  <c r="F1730" i="22"/>
  <c r="F20" i="22"/>
  <c r="G856" i="21"/>
  <c r="H400" i="22"/>
  <c r="J1464" i="22"/>
  <c r="H1046" i="22"/>
  <c r="H134" i="5"/>
  <c r="F742" i="22"/>
  <c r="F134" i="5"/>
  <c r="F780" i="22"/>
  <c r="F172" i="18"/>
  <c r="I1730" i="22"/>
  <c r="G590" i="21"/>
  <c r="I628" i="22"/>
  <c r="I1046" i="21"/>
  <c r="G704" i="21"/>
  <c r="J1540" i="21"/>
  <c r="F96" i="22"/>
  <c r="J96" i="18"/>
  <c r="I932" i="21"/>
  <c r="I438" i="22"/>
  <c r="F1426" i="21"/>
  <c r="I1274" i="21"/>
  <c r="H172" i="5"/>
  <c r="G552" i="21"/>
  <c r="F1692" i="22"/>
  <c r="I1084" i="21"/>
  <c r="G96" i="22"/>
  <c r="J20" i="21"/>
  <c r="G628" i="22"/>
  <c r="G1806" i="22"/>
  <c r="H20" i="21"/>
  <c r="F58" i="22"/>
  <c r="H590" i="21"/>
  <c r="J628" i="21"/>
  <c r="G20" i="14"/>
  <c r="H818" i="22"/>
  <c r="I96" i="21"/>
  <c r="H666" i="21"/>
  <c r="G1122" i="21"/>
  <c r="G780" i="21"/>
  <c r="I400" i="22"/>
  <c r="H286" i="21"/>
  <c r="G172" i="5"/>
  <c r="J1692" i="22"/>
  <c r="G742" i="21"/>
  <c r="F856" i="21"/>
  <c r="F932" i="21"/>
  <c r="G96" i="13"/>
  <c r="I1616" i="22"/>
  <c r="F324" i="22"/>
  <c r="F1160" i="22"/>
  <c r="H438" i="14"/>
  <c r="G476" i="14"/>
  <c r="G20" i="21"/>
  <c r="H58" i="15"/>
  <c r="G96" i="21"/>
  <c r="F400" i="22"/>
  <c r="G134" i="22"/>
  <c r="G248" i="21"/>
  <c r="F1046" i="21"/>
  <c r="F476" i="14"/>
  <c r="F1160" i="21"/>
  <c r="J552" i="14"/>
  <c r="F818" i="21"/>
  <c r="I20" i="21"/>
  <c r="I1160" i="21"/>
  <c r="I20" i="22"/>
  <c r="F628" i="21"/>
  <c r="I172" i="18"/>
  <c r="H514" i="22"/>
  <c r="J210" i="21"/>
  <c r="I856" i="22"/>
  <c r="H818" i="21"/>
  <c r="H1616" i="22"/>
  <c r="J1350" i="22"/>
  <c r="F1274" i="22"/>
  <c r="G1464" i="22"/>
  <c r="H324" i="22"/>
  <c r="F476" i="22"/>
  <c r="I1388" i="21"/>
  <c r="H20" i="13"/>
  <c r="H628" i="21"/>
  <c r="F1312" i="22"/>
  <c r="H932" i="21"/>
  <c r="G58" i="5"/>
  <c r="H286" i="22"/>
  <c r="J666" i="21"/>
  <c r="J1122" i="21"/>
  <c r="H248" i="22"/>
  <c r="G666" i="21"/>
  <c r="J1578" i="21"/>
  <c r="H514" i="21"/>
  <c r="J1616" i="22"/>
  <c r="G400" i="22"/>
  <c r="H1540" i="21"/>
  <c r="F894" i="21"/>
  <c r="I1806" i="22"/>
  <c r="F58" i="15"/>
  <c r="F1236" i="22"/>
  <c r="G1312" i="22"/>
  <c r="H400" i="21"/>
  <c r="F1464" i="22"/>
  <c r="F590" i="21"/>
  <c r="F96" i="21"/>
  <c r="H1046" i="21"/>
  <c r="I134" i="18"/>
  <c r="F1122" i="21"/>
  <c r="I400" i="21"/>
  <c r="F58" i="21"/>
  <c r="F552" i="14"/>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14" l="1"/>
  <c r="K15" i="5"/>
  <c r="G15" i="22"/>
  <c r="K15" i="15"/>
  <c r="G15" i="13"/>
  <c r="G15" i="5"/>
  <c r="K15" i="21"/>
  <c r="G15" i="14"/>
  <c r="G15" i="15"/>
  <c r="K15" i="18"/>
  <c r="K15" i="22"/>
  <c r="G15" i="21"/>
  <c r="G15" i="18"/>
  <c r="K15" i="13"/>
  <c r="H14" i="22" l="1"/>
  <c r="L13" i="5"/>
  <c r="H12" i="5"/>
  <c r="H12" i="13"/>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<sst xmlns="http://schemas.openxmlformats.org/spreadsheetml/2006/main" count="4218" uniqueCount="552">
  <si>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</si>
  <si>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</si>
  <si>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</si>
  <si>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</si>
  <si>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</si>
  <si>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</si>
  <si>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</si>
  <si>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</si>
  <si>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</si>
  <si>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</si>
  <si>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</si>
  <si>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</si>
  <si>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</si>
  <si>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</si>
  <si>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</si>
  <si>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</si>
  <si>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</si>
  <si>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</si>
  <si>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</si>
  <si>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</si>
  <si>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</si>
  <si>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</si>
  <si>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</si>
  <si>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</si>
  <si>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</si>
  <si>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</si>
  <si>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</si>
  <si>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</si>
  <si>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</si>
  <si>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</si>
  <si>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</si>
  <si>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</si>
  <si>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</si>
  <si>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</si>
  <si>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</si>
  <si>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</si>
  <si>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</si>
  <si>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</si>
  <si>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</si>
  <si>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</si>
  <si>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</si>
  <si>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</si>
  <si>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</si>
  <si>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</si>
  <si>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</si>
  <si>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</si>
  <si>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</si>
  <si>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</si>
  <si>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</si>
  <si>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</si>
  <si>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</si>
  <si>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</si>
  <si>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</si>
  <si>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</si>
  <si>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</si>
  <si>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</si>
  <si>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</si>
  <si>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</si>
  <si>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</si>
  <si>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</si>
  <si>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</si>
  <si>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</si>
  <si>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</si>
  <si>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</si>
  <si>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</si>
  <si>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</si>
  <si>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</si>
  <si>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</si>
  <si>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</si>
  <si>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</si>
  <si>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</si>
  <si>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</si>
  <si>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</si>
  <si>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</si>
  <si>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</si>
  <si>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</si>
  <si>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</si>
  <si>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</si>
  <si>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</si>
  <si>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</si>
  <si>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</si>
  <si>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</si>
  <si>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</si>
  <si>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</si>
  <si>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</si>
  <si>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</si>
  <si>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</si>
  <si>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</si>
  <si>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</si>
  <si>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</si>
  <si>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</si>
  <si>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</si>
  <si>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</si>
  <si>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</si>
  <si>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</si>
  <si>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</si>
  <si>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</si>
  <si>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</si>
  <si>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</si>
  <si>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</si>
  <si>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</si>
  <si>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</si>
  <si>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</si>
  <si>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</si>
  <si>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</si>
  <si>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</si>
  <si>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</si>
  <si>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</si>
  <si>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</si>
  <si>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</si>
  <si>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</si>
  <si>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</si>
  <si>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</si>
  <si>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</si>
  <si>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</si>
  <si>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</si>
  <si>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</si>
  <si>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</si>
  <si>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</si>
  <si>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</si>
  <si>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</si>
  <si>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</si>
  <si>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</si>
  <si>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</si>
  <si>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</si>
  <si>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</si>
  <si>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</si>
  <si>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</si>
  <si>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</si>
  <si>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</si>
  <si>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</si>
  <si>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</si>
  <si>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</si>
  <si>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</si>
  <si>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</si>
  <si>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</si>
  <si>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</si>
  <si>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</si>
  <si>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</si>
  <si>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</si>
  <si>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</si>
  <si>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</si>
  <si>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</si>
  <si>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</si>
  <si>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</si>
  <si>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</si>
  <si>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</si>
  <si>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</si>
  <si>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</si>
  <si>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</si>
  <si>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</si>
  <si>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</si>
  <si>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</si>
  <si>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</si>
  <si>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</si>
  <si>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</si>
  <si>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</si>
  <si>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</si>
  <si>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</si>
  <si>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</si>
  <si>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</si>
  <si>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</si>
  <si>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</si>
  <si>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</si>
  <si>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</si>
  <si>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</si>
  <si>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</si>
  <si>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</si>
  <si>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</si>
  <si>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</si>
  <si>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</si>
  <si>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</si>
  <si>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</si>
  <si>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</si>
  <si>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</si>
  <si>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</si>
  <si>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</si>
  <si>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</si>
  <si>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</si>
  <si>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</si>
  <si>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</si>
  <si>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</si>
  <si>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</si>
  <si>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</si>
  <si>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</si>
  <si>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</si>
  <si>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</si>
  <si>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</si>
  <si>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</si>
  <si>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</si>
  <si>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</si>
  <si>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</si>
  <si>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</si>
  <si>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</si>
  <si>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</si>
  <si>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</si>
  <si>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</si>
  <si>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</si>
  <si>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</si>
  <si>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</si>
  <si>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</si>
  <si>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</si>
  <si>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</si>
  <si>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</si>
  <si>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</si>
  <si>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</si>
  <si>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</si>
  <si>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</si>
  <si>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</si>
  <si>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</si>
  <si>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</si>
  <si>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</si>
  <si>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</si>
  <si>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</si>
  <si>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</si>
  <si>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</si>
  <si>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</si>
  <si>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</si>
  <si>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</si>
  <si>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</si>
  <si>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</si>
  <si>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</si>
  <si>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</si>
  <si>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</si>
  <si>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</si>
  <si>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</si>
  <si>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</si>
  <si>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</si>
  <si>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</si>
  <si>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</si>
  <si>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</si>
  <si>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</si>
  <si>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</si>
  <si>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</si>
  <si>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</si>
  <si>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</si>
  <si>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</si>
  <si>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</si>
  <si>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</si>
  <si>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</si>
  <si>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</si>
  <si>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</si>
  <si>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</si>
  <si>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</si>
  <si>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</si>
  <si>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</si>
  <si>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</si>
  <si>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</si>
  <si>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</si>
  <si>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</si>
  <si>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</si>
  <si>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</si>
  <si>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</si>
  <si>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</si>
  <si>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</si>
  <si>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</si>
  <si>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</si>
  <si>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</si>
  <si>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</si>
  <si>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</si>
  <si>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</si>
  <si>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</si>
  <si>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</si>
  <si>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</si>
  <si>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</si>
  <si>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</si>
  <si>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</si>
  <si>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</si>
  <si>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</si>
  <si>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</si>
  <si>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</si>
  <si>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</si>
  <si>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</si>
  <si>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</si>
  <si>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</si>
  <si>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</si>
  <si>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</si>
  <si>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</si>
  <si>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</si>
  <si>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</si>
  <si>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</si>
  <si>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</si>
  <si>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</si>
  <si>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</si>
  <si>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</si>
  <si>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</si>
  <si>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</si>
  <si>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</si>
  <si>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</si>
  <si>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</si>
  <si>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</si>
  <si>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</si>
  <si>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</si>
  <si>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</si>
  <si>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</si>
  <si>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</si>
  <si>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</si>
  <si>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</si>
  <si>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</si>
  <si>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</si>
  <si>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</si>
  <si>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</si>
  <si>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</si>
  <si>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</si>
  <si>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</si>
  <si>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</si>
  <si>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</si>
  <si>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</si>
  <si>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</si>
  <si>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</si>
  <si>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</si>
  <si>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</si>
  <si>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</si>
  <si>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</si>
  <si>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</si>
  <si>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</si>
  <si>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</si>
  <si>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</si>
  <si>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</si>
  <si>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</si>
  <si>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</si>
  <si>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</si>
  <si>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</si>
  <si>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</si>
  <si>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</si>
  <si>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</si>
  <si>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</si>
  <si>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</si>
  <si>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</si>
  <si>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</si>
  <si>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</si>
  <si>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</si>
  <si>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</si>
  <si>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</si>
  <si>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</si>
  <si>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</si>
  <si>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</si>
  <si>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</si>
  <si>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</si>
  <si>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</si>
  <si>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</si>
  <si>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</si>
  <si>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</si>
  <si>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</si>
  <si>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</si>
  <si>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</si>
  <si>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</si>
  <si>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</si>
  <si>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</si>
  <si>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</si>
  <si>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</si>
  <si>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</si>
  <si>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</si>
  <si>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</si>
  <si>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</si>
  <si>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</si>
  <si>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</si>
  <si>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</si>
  <si>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</si>
  <si>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</si>
  <si>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</si>
  <si>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</si>
  <si>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</si>
  <si>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</si>
  <si>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</si>
  <si>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</si>
  <si>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</si>
  <si>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</si>
  <si>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</si>
  <si>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</si>
  <si>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</si>
  <si>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</si>
  <si>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</si>
  <si>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</si>
  <si>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</si>
  <si>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</si>
  <si>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</si>
  <si>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</si>
  <si>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</si>
  <si>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</si>
  <si>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</si>
  <si>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</si>
  <si>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</si>
  <si>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</si>
  <si>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</si>
  <si>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</si>
  <si>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</si>
  <si>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</si>
  <si>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</si>
  <si>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</si>
  <si>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</si>
  <si>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</si>
  <si>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</si>
  <si>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</si>
  <si>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</si>
  <si>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</si>
  <si>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</si>
  <si>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</si>
  <si>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</si>
  <si>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</si>
  <si>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</si>
  <si>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</si>
  <si>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</si>
  <si>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</si>
  <si>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</si>
  <si>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</si>
  <si>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</si>
  <si>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</si>
  <si>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</si>
  <si>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</si>
  <si>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</si>
  <si>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</si>
  <si>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</si>
  <si>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</si>
  <si>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</si>
  <si>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</si>
  <si>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</si>
  <si>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</si>
  <si>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</si>
  <si>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</si>
  <si>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</si>
  <si>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</si>
  <si>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</si>
  <si>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</si>
  <si>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</si>
  <si>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</si>
  <si>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</si>
  <si>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</si>
  <si>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</si>
  <si>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</si>
  <si>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</si>
  <si>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</si>
  <si>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</si>
  <si>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</si>
  <si>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</si>
  <si>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</si>
  <si>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</si>
  <si>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</si>
  <si>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</si>
  <si>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</si>
  <si>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</si>
  <si>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</si>
  <si>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</si>
  <si>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</si>
  <si>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</si>
  <si>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</si>
  <si>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</si>
  <si>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</si>
  <si>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</si>
  <si>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</si>
  <si>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</si>
  <si>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</si>
  <si>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</si>
  <si>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</si>
  <si>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</si>
  <si>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</si>
  <si>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</si>
  <si>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</si>
  <si>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</si>
  <si>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</si>
  <si>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</si>
  <si>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</si>
  <si>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</si>
  <si>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</si>
  <si>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</si>
  <si>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</si>
  <si>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</si>
  <si>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</si>
  <si>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</si>
  <si>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</si>
  <si>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</si>
  <si>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</si>
  <si>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</si>
  <si>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</si>
  <si>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</si>
  <si>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</si>
  <si>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</si>
  <si>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</si>
  <si>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</si>
  <si>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</si>
  <si>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Revisión del dominio solicitado</t>
  </si>
  <si>
    <t xml:space="preserve">Sistema Operativo: Windows 11 Enterprise
Navegador: Google Chrome Versión 135.0.7049.42 (Build oficial) (64 bits)
Herramientas utilizadas:  LightHouse, Color Contrast Analyzer, HeadingsMap, Screen reader, Siteimprove, taba11y y  UserCSS </t>
  </si>
  <si>
    <t>Consorcio Transportes Madrid</t>
  </si>
  <si>
    <t>https://www.crtm.es/</t>
  </si>
  <si>
    <t>Inicio</t>
  </si>
  <si>
    <t>Página Web</t>
  </si>
  <si>
    <t>https://www.crtm.es/tu-transporte-publico/metro/</t>
  </si>
  <si>
    <t>https://www.crtm.es/tu-transporte-publico/metro/lineas/4__1___</t>
  </si>
  <si>
    <t>https://www.crtm.es/tu-transporte-publico/metro/estaciones/4_159</t>
  </si>
  <si>
    <t>https://www.crtm.es/muevete-por-madrid/</t>
  </si>
  <si>
    <t xml:space="preserve">https://www.crtm.es/muevete-por-madrid/conexiones-con-aeropuerto-y-principales-estaciones/ </t>
  </si>
  <si>
    <t>https://www.crtm.es/atencion-desplazados-ucranianos/#item3</t>
  </si>
  <si>
    <t xml:space="preserve"> https://www.crtm.es/billetes-y-tarifas/tarjeta-transporte-publico/preguntas-frecuentes/#item23</t>
  </si>
  <si>
    <t>https://www.crtm.es/billetes-y-tarifas/billetes-y-abonos/metro/?idPestana=1&amp;lang=#item10</t>
  </si>
  <si>
    <t>https://www.crtm.es/billetes-y-tarifas/apps/</t>
  </si>
  <si>
    <t>https://www.crtm.es/atencion-al-cliente/</t>
  </si>
  <si>
    <t>https://www.crtm.es/accesibilidad</t>
  </si>
  <si>
    <t>https://www.crtm.es/normativa</t>
  </si>
  <si>
    <t>https://www.crtm.es/politica-de-cookies</t>
  </si>
  <si>
    <t>https://www.crtm.es/proteccion-de-datos</t>
  </si>
  <si>
    <t>https://www.crtm.es/mapa-web</t>
  </si>
  <si>
    <t>https://www.crtm.es/comunicacion/multimedia/galeria-de-fotos/</t>
  </si>
  <si>
    <t>https://www.crtm.es/comunicacion/actualidad-del-servicio/?idPestana=1&amp;lang=es</t>
  </si>
  <si>
    <t>https://www.crtm.es/conocenos/#CentrodeDocumentacion</t>
  </si>
  <si>
    <t>Accesibilidad</t>
  </si>
  <si>
    <t>Normativa</t>
  </si>
  <si>
    <t>Aviso Legal</t>
  </si>
  <si>
    <t>Política de cookies</t>
  </si>
  <si>
    <t>Protección de datos</t>
  </si>
  <si>
    <t>Galería de fotos</t>
  </si>
  <si>
    <t>Actualidad del servicio</t>
  </si>
  <si>
    <t>Atención al cliente</t>
  </si>
  <si>
    <t>Billetes y tarifas (App)</t>
  </si>
  <si>
    <t>Billetes y abonos (Metro)</t>
  </si>
  <si>
    <t>Conócenos</t>
  </si>
  <si>
    <t>Preguntas frecuentes (Tarjeta transporte público personal)</t>
  </si>
  <si>
    <t>Atención desplazados Ucranianos</t>
  </si>
  <si>
    <t>conexiones con aeropuerto y principales estaciones</t>
  </si>
  <si>
    <t>Muévete por Madrid</t>
  </si>
  <si>
    <t>Estaciones Aeropuerto T1-T2-T3</t>
  </si>
  <si>
    <t>Líneas de metro</t>
  </si>
  <si>
    <t>Red de metro</t>
  </si>
  <si>
    <t xml:space="preserve">Home </t>
  </si>
  <si>
    <t>Home &gt; Accesibilidad</t>
  </si>
  <si>
    <t>Home &gt; Normativa</t>
  </si>
  <si>
    <t>Home &gt; Aviso Legal</t>
  </si>
  <si>
    <t>Home &gt; Política de cookies</t>
  </si>
  <si>
    <t>Home &gt; Protección de datos</t>
  </si>
  <si>
    <t>Home &gt; Mapa Web</t>
  </si>
  <si>
    <t>Home &gt; Comunicación &gt; Multimedia &gt; Galería de fotos</t>
  </si>
  <si>
    <t>Home &gt; Comunicación &gt; Actualidad del Servicio</t>
  </si>
  <si>
    <t>Home &gt; Conócenos</t>
  </si>
  <si>
    <t>Home &gt; Atención al cliente</t>
  </si>
  <si>
    <t>Home &gt; Billetes y tarifas &gt; Apps</t>
  </si>
  <si>
    <t>Home &gt; Billetes y tarifas &gt; Billetes y abonos &gt; Metro</t>
  </si>
  <si>
    <t>Home &gt; Billetes y tarifas &gt; Tajeta Trasporte Público Personal &gt; Preguntas frecuentes</t>
  </si>
  <si>
    <t>Home &gt; Billetes y tarifas &gt; Atención a desplazados ucranianos</t>
  </si>
  <si>
    <t>Home &gt; Muévete por Madrid &gt; Conexiones con aeropuerto y principales estaciones</t>
  </si>
  <si>
    <t>Home &gt; Muévete por Madrid</t>
  </si>
  <si>
    <t>Home &gt; Tu transporte público &gt; Metro</t>
  </si>
  <si>
    <t>Texto, enlaces, buscador, iconos o imágenes</t>
  </si>
  <si>
    <t>Home &gt; Tu transporte público &gt; Metro &gt; Líneas &gt; 1 Pinar de Chamartín-Valdecarros</t>
  </si>
  <si>
    <t>Home &gt; Tu transporte público &gt; Metro &gt; Estaciones &gt; Aeropuerto T1-T2-T3</t>
  </si>
  <si>
    <t>Modo accesible</t>
  </si>
  <si>
    <t>https://www.crtm.es/aviso-legal</t>
  </si>
  <si>
    <t>Home &gt; Modo accesible</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</si>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</sst>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561401</xdr:colOff>
      <xdr:row>20</xdr:row>
      <xdr:rowOff>79223</xdr:rowOff>
    </xdr:from>
    <xdr:to>
      <xdr:col>8</xdr:col>
      <xdr:colOff>292841</xdr:colOff>
      <xdr:row>25</xdr:row>
      <xdr:rowOff>12007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29471</xdr:rowOff>
    </xdr:from>
    <xdr:to>
      <xdr:col>14</xdr:col>
      <xdr:colOff>841168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122939</xdr:rowOff>
    </xdr:from>
    <xdr:to>
      <xdr:col>11</xdr:col>
      <xdr:colOff>145</xdr:colOff>
      <xdr:row>277</xdr:row>
      <xdr:rowOff>29844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9312</xdr:rowOff>
    </xdr:from>
    <xdr:to>
      <xdr:col>11</xdr:col>
      <xdr:colOff>12633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351232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350745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10416</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527598</xdr:colOff>
      <xdr:row>57</xdr:row>
      <xdr:rowOff>141432</xdr:rowOff>
    </xdr:from>
    <xdr:to>
      <xdr:col>8</xdr:col>
      <xdr:colOff>317139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144490</xdr:rowOff>
    </xdr:from>
    <xdr:to>
      <xdr:col>8</xdr:col>
      <xdr:colOff>279801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28716</xdr:rowOff>
    </xdr:from>
    <xdr:to>
      <xdr:col>8</xdr:col>
      <xdr:colOff>325136</xdr:colOff>
      <xdr:row>139</xdr:row>
      <xdr:rowOff>120280</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546399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546707</xdr:colOff>
      <xdr:row>210</xdr:row>
      <xdr:rowOff>40541</xdr:rowOff>
    </xdr:from>
    <xdr:to>
      <xdr:col>8</xdr:col>
      <xdr:colOff>326723</xdr:colOff>
      <xdr:row>214</xdr:row>
      <xdr:rowOff>126085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577594</xdr:colOff>
      <xdr:row>248</xdr:row>
      <xdr:rowOff>66270</xdr:rowOff>
    </xdr:from>
    <xdr:to>
      <xdr:col>8</xdr:col>
      <xdr:colOff>307129</xdr:colOff>
      <xdr:row>253</xdr:row>
      <xdr:rowOff>9668</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120239</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349910</xdr:colOff>
      <xdr:row>328</xdr:row>
      <xdr:rowOff>55394</xdr:rowOff>
    </xdr:from>
    <xdr:to>
      <xdr:col>14</xdr:col>
      <xdr:colOff>779632</xdr:colOff>
      <xdr:row>359</xdr:row>
      <xdr:rowOff>202990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789783</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543471</xdr:colOff>
      <xdr:row>361</xdr:row>
      <xdr:rowOff>145141</xdr:rowOff>
    </xdr:from>
    <xdr:to>
      <xdr:col>8</xdr:col>
      <xdr:colOff>334894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789783</xdr:colOff>
      <xdr:row>435</xdr:row>
      <xdr:rowOff>9140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335975</xdr:colOff>
      <xdr:row>404</xdr:row>
      <xdr:rowOff>123286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335975</xdr:colOff>
      <xdr:row>442</xdr:row>
      <xdr:rowOff>123286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335975</xdr:colOff>
      <xdr:row>480</xdr:row>
      <xdr:rowOff>123286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335975</xdr:colOff>
      <xdr:row>518</xdr:row>
      <xdr:rowOff>123286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44238</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335975</xdr:colOff>
      <xdr:row>556</xdr:row>
      <xdr:rowOff>123286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8401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335975</xdr:colOff>
      <xdr:row>594</xdr:row>
      <xdr:rowOff>123286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106940</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335975</xdr:colOff>
      <xdr:row>632</xdr:row>
      <xdr:rowOff>123286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69933</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335975</xdr:colOff>
      <xdr:row>670</xdr:row>
      <xdr:rowOff>123286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67258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49343</xdr:rowOff>
    </xdr:from>
    <xdr:to>
      <xdr:col>8</xdr:col>
      <xdr:colOff>293642</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12488</xdr:rowOff>
    </xdr:from>
    <xdr:to>
      <xdr:col>8</xdr:col>
      <xdr:colOff>334159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18357</xdr:colOff>
      <xdr:row>215</xdr:row>
      <xdr:rowOff>57943</xdr:rowOff>
    </xdr:from>
    <xdr:to>
      <xdr:col>11</xdr:col>
      <xdr:colOff>168909</xdr:colOff>
      <xdr:row>229</xdr:row>
      <xdr:rowOff>134216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17970</xdr:rowOff>
    </xdr:from>
    <xdr:to>
      <xdr:col>11</xdr:col>
      <xdr:colOff>171450</xdr:colOff>
      <xdr:row>195</xdr:row>
      <xdr:rowOff>130810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323914</xdr:colOff>
      <xdr:row>138</xdr:row>
      <xdr:rowOff>95520</xdr:rowOff>
    </xdr:from>
    <xdr:to>
      <xdr:col>11</xdr:col>
      <xdr:colOff>15462</xdr:colOff>
      <xdr:row>164</xdr:row>
      <xdr:rowOff>21886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288804</xdr:colOff>
      <xdr:row>100</xdr:row>
      <xdr:rowOff>38646</xdr:rowOff>
    </xdr:from>
    <xdr:to>
      <xdr:col>11</xdr:col>
      <xdr:colOff>20955</xdr:colOff>
      <xdr:row>120</xdr:row>
      <xdr:rowOff>98213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363008</xdr:colOff>
      <xdr:row>63</xdr:row>
      <xdr:rowOff>16769</xdr:rowOff>
    </xdr:from>
    <xdr:to>
      <xdr:col>11</xdr:col>
      <xdr:colOff>18534</xdr:colOff>
      <xdr:row>77</xdr:row>
      <xdr:rowOff>98213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322614</xdr:colOff>
      <xdr:row>26</xdr:row>
      <xdr:rowOff>2033</xdr:rowOff>
    </xdr:from>
    <xdr:to>
      <xdr:col>11</xdr:col>
      <xdr:colOff>2671</xdr:colOff>
      <xdr:row>49</xdr:row>
      <xdr:rowOff>130809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512360</xdr:colOff>
      <xdr:row>21</xdr:row>
      <xdr:rowOff>57785</xdr:rowOff>
    </xdr:from>
    <xdr:to>
      <xdr:col>8</xdr:col>
      <xdr:colOff>285028</xdr:colOff>
      <xdr:row>25</xdr:row>
      <xdr:rowOff>91989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555529</xdr:colOff>
      <xdr:row>58</xdr:row>
      <xdr:rowOff>54797</xdr:rowOff>
    </xdr:from>
    <xdr:to>
      <xdr:col>8</xdr:col>
      <xdr:colOff>283113</xdr:colOff>
      <xdr:row>62</xdr:row>
      <xdr:rowOff>95468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513354</xdr:colOff>
      <xdr:row>96</xdr:row>
      <xdr:rowOff>1737</xdr:rowOff>
    </xdr:from>
    <xdr:to>
      <xdr:col>8</xdr:col>
      <xdr:colOff>265703</xdr:colOff>
      <xdr:row>100</xdr:row>
      <xdr:rowOff>22421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478183</xdr:colOff>
      <xdr:row>134</xdr:row>
      <xdr:rowOff>53945</xdr:rowOff>
    </xdr:from>
    <xdr:to>
      <xdr:col>8</xdr:col>
      <xdr:colOff>246723</xdr:colOff>
      <xdr:row>138</xdr:row>
      <xdr:rowOff>94500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548825</xdr:colOff>
      <xdr:row>171</xdr:row>
      <xdr:rowOff>97864</xdr:rowOff>
    </xdr:from>
    <xdr:to>
      <xdr:col>8</xdr:col>
      <xdr:colOff>326890</xdr:colOff>
      <xdr:row>175</xdr:row>
      <xdr:rowOff>135482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554767</xdr:colOff>
      <xdr:row>210</xdr:row>
      <xdr:rowOff>134660</xdr:rowOff>
    </xdr:from>
    <xdr:to>
      <xdr:col>8</xdr:col>
      <xdr:colOff>284256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N8" sqref="N8"/>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75"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2</v>
      </c>
    </row>
    <row r="9" spans="1:64" ht="216" customHeight="1">
      <c r="B9" s="247" t="s">
        <v>469</v>
      </c>
      <c r="C9" s="247"/>
      <c r="D9" s="247"/>
      <c r="E9" s="247"/>
      <c r="F9" s="247"/>
      <c r="G9" s="247"/>
      <c r="H9" s="247"/>
      <c r="I9" s="247"/>
      <c r="J9" s="247"/>
      <c r="K9" s="247"/>
      <c r="L9" s="247"/>
      <c r="M9" s="247"/>
      <c r="N9" s="247"/>
    </row>
    <row r="10" spans="1:64" ht="13.5" customHeight="1"/>
    <row r="11" spans="1:64" ht="86.25" customHeight="1">
      <c r="B11" s="247" t="s">
        <v>278</v>
      </c>
      <c r="C11" s="247"/>
      <c r="D11" s="247"/>
      <c r="E11" s="247"/>
      <c r="F11" s="247"/>
      <c r="G11" s="247"/>
      <c r="H11" s="247"/>
      <c r="I11" s="247"/>
      <c r="J11" s="247"/>
      <c r="K11" s="247"/>
      <c r="L11" s="247"/>
      <c r="M11" s="247"/>
      <c r="N11" s="247"/>
    </row>
    <row r="12" spans="1:64" ht="13.5" customHeight="1"/>
    <row r="13" spans="1:64" ht="319.5" customHeight="1">
      <c r="B13" s="247" t="s">
        <v>468</v>
      </c>
      <c r="C13" s="247"/>
      <c r="D13" s="247"/>
      <c r="E13" s="247"/>
      <c r="F13" s="247"/>
      <c r="G13" s="247"/>
      <c r="H13" s="247"/>
      <c r="I13" s="247"/>
      <c r="J13" s="247"/>
      <c r="K13" s="247"/>
      <c r="L13" s="247"/>
      <c r="M13" s="247"/>
      <c r="N13" s="247"/>
    </row>
    <row r="15" spans="1:64" ht="274.5" customHeight="1">
      <c r="B15" s="248" t="s">
        <v>472</v>
      </c>
      <c r="C15" s="248"/>
      <c r="D15" s="248"/>
      <c r="E15" s="248"/>
      <c r="F15" s="248"/>
      <c r="G15" s="248"/>
      <c r="H15" s="248"/>
      <c r="I15" s="248"/>
      <c r="J15" s="248"/>
      <c r="K15" s="248"/>
      <c r="L15" s="248"/>
      <c r="M15" s="248"/>
      <c r="N15" s="248"/>
    </row>
    <row r="17" spans="2:14" ht="29.25" customHeight="1">
      <c r="B17" s="249" t="s">
        <v>271</v>
      </c>
      <c r="C17" s="249"/>
      <c r="D17" s="249"/>
      <c r="E17" s="249"/>
      <c r="F17" s="249"/>
      <c r="G17" s="249"/>
      <c r="H17" s="249"/>
      <c r="I17" s="249"/>
      <c r="J17" s="249"/>
      <c r="K17" s="249"/>
      <c r="L17" s="249"/>
      <c r="M17" s="249"/>
      <c r="N17" s="249"/>
    </row>
    <row r="19" spans="2:14" ht="17.5">
      <c r="B19" s="213" t="s">
        <v>356</v>
      </c>
      <c r="C19" s="212"/>
      <c r="D19" s="212"/>
      <c r="E19" s="212"/>
      <c r="F19" s="212"/>
      <c r="G19" s="212"/>
      <c r="H19" s="212"/>
      <c r="I19" s="212"/>
      <c r="J19" s="212"/>
      <c r="K19" s="212"/>
      <c r="L19" s="212"/>
      <c r="M19" s="212"/>
      <c r="N19" s="212"/>
    </row>
    <row r="20" spans="2:14" ht="18.5">
      <c r="B20" s="210" t="s">
        <v>279</v>
      </c>
      <c r="C20" s="211"/>
      <c r="D20" s="211"/>
      <c r="E20" s="211"/>
      <c r="F20" s="211"/>
      <c r="G20" s="211"/>
      <c r="H20" s="211"/>
      <c r="I20" s="211"/>
      <c r="J20" s="211"/>
      <c r="K20" s="211"/>
      <c r="L20" s="211"/>
      <c r="M20" s="211"/>
      <c r="N20" s="211"/>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39" sqref="D39"/>
    </sheetView>
  </sheetViews>
  <sheetFormatPr baseColWidth="10" defaultColWidth="11.54296875" defaultRowHeight="12.5"/>
  <cols>
    <col min="1" max="1" width="7.90625" style="14" customWidth="1"/>
    <col min="2" max="2" width="16.08984375" style="14" customWidth="1"/>
    <col min="3" max="3" width="71"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09"/>
      <c r="C6" s="109"/>
      <c r="D6" s="109"/>
      <c r="E6" s="110"/>
      <c r="F6" s="109"/>
      <c r="G6" s="109"/>
      <c r="H6" s="109"/>
      <c r="I6" s="109"/>
      <c r="J6" s="109"/>
      <c r="K6" s="109"/>
      <c r="L6" s="109"/>
      <c r="M6" s="109"/>
      <c r="N6" s="19"/>
      <c r="O6" s="19"/>
    </row>
    <row r="7" spans="1:64" ht="12.65" customHeight="1">
      <c r="B7" s="19"/>
      <c r="C7" s="19"/>
      <c r="D7" s="19"/>
      <c r="E7" s="107"/>
      <c r="F7" s="19"/>
      <c r="G7" s="19"/>
      <c r="H7" s="19"/>
      <c r="I7" s="19"/>
      <c r="J7" s="19"/>
      <c r="K7" s="19"/>
      <c r="L7" s="19"/>
      <c r="M7" s="19"/>
      <c r="N7" s="19"/>
      <c r="O7" s="19"/>
    </row>
    <row r="8" spans="1:64" ht="18.899999999999999" customHeight="1">
      <c r="B8" s="267" t="s">
        <v>321</v>
      </c>
      <c r="C8" s="267"/>
      <c r="D8" s="267"/>
      <c r="E8" s="267"/>
      <c r="F8" s="267"/>
      <c r="G8" s="267"/>
      <c r="H8" s="267"/>
      <c r="I8" s="267"/>
      <c r="J8" s="267"/>
      <c r="K8" s="267"/>
      <c r="L8" s="267"/>
      <c r="M8" s="267"/>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4" customHeight="1">
      <c r="B11" s="264" t="s">
        <v>151</v>
      </c>
      <c r="C11" s="265"/>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21</v>
      </c>
      <c r="H12" s="53">
        <f ca="1">IF(($G$15+$K$15)=0,0,G12/($G$15+$K$15))</f>
        <v>0.16666666666666666</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0</v>
      </c>
      <c r="H13" s="53">
        <f ca="1">IF(($G$15+$K$15)=0,0,G13/($G$15+$K$15))</f>
        <v>0</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105</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126</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https://www.crtm.es/</v>
      </c>
      <c r="D19" s="130" t="s">
        <v>25</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Red de metro</v>
      </c>
      <c r="C20" s="114" t="str" cm="1">
        <f t="array" ref="C20">IFERROR(INDEX('03.Muestra'!$F$8:$F$42,SMALL(IF("Página Web"='03.Muestra'!$D$8:$D$42,ROW('03.Muestra'!$F$8:$F$42)-MIN(ROW('03.Muestra'!$D$8:$D$42))+1,""),ROW()-18)),"")</f>
        <v>https://www.crtm.es/tu-transporte-publico/metro/</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21</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Líneas de metro</v>
      </c>
      <c r="C21" s="114" t="str" cm="1">
        <f t="array" ref="C21">IFERROR(INDEX('03.Muestra'!$F$8:$F$42,SMALL(IF("Página Web"='03.Muestra'!$D$8:$D$42,ROW('03.Muestra'!$F$8:$F$42)-MIN(ROW('03.Muestra'!$D$8:$D$42))+1,""),ROW()-18)),"")</f>
        <v>https://www.crtm.es/tu-transporte-publico/metro/lineas/4__1___</v>
      </c>
      <c r="D21" s="130" t="s">
        <v>25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Estaciones Aeropuerto T1-T2-T3</v>
      </c>
      <c r="C22" s="114" t="str" cm="1">
        <f t="array" ref="C22">IFERROR(INDEX('03.Muestra'!$F$8:$F$42,SMALL(IF("Página Web"='03.Muestra'!$D$8:$D$42,ROW('03.Muestra'!$F$8:$F$42)-MIN(ROW('03.Muestra'!$D$8:$D$42))+1,""),ROW()-18)),"")</f>
        <v>https://www.crtm.es/tu-transporte-publico/metro/estaciones/4_159</v>
      </c>
      <c r="D22" s="130" t="s">
        <v>25</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Muévete por Madrid</v>
      </c>
      <c r="C23" s="114" t="str" cm="1">
        <f t="array" ref="C23">IFERROR(INDEX('03.Muestra'!$F$8:$F$42,SMALL(IF("Página Web"='03.Muestra'!$D$8:$D$42,ROW('03.Muestra'!$F$8:$F$42)-MIN(ROW('03.Muestra'!$D$8:$D$42))+1,""),ROW()-18)),"")</f>
        <v>https://www.crtm.es/muevete-por-madrid/</v>
      </c>
      <c r="D23" s="130" t="s">
        <v>25</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conexiones con aeropuerto y principales estaciones</v>
      </c>
      <c r="C24" s="114" t="str" cm="1">
        <f t="array" ref="C24">IFERROR(INDEX('03.Muestra'!$F$8:$F$42,SMALL(IF("Página Web"='03.Muestra'!$D$8:$D$42,ROW('03.Muestra'!$F$8:$F$42)-MIN(ROW('03.Muestra'!$D$8:$D$42))+1,""),ROW()-18)),"")</f>
        <v xml:space="preserve">https://www.crtm.es/muevete-por-madrid/conexiones-con-aeropuerto-y-principales-estaciones/ </v>
      </c>
      <c r="D24" s="130" t="s">
        <v>25</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desplazados Ucranianos</v>
      </c>
      <c r="C25" s="114" t="str" cm="1">
        <f t="array" ref="C25">IFERROR(INDEX('03.Muestra'!$F$8:$F$42,SMALL(IF("Página Web"='03.Muestra'!$D$8:$D$42,ROW('03.Muestra'!$F$8:$F$42)-MIN(ROW('03.Muestra'!$D$8:$D$42))+1,""),ROW()-18)),"")</f>
        <v>https://www.crtm.es/atencion-desplazados-ucranianos/#item3</v>
      </c>
      <c r="D25" s="130" t="s">
        <v>25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Preguntas frecuentes (Tarjeta transporte público personal)</v>
      </c>
      <c r="C26" s="114" t="str" cm="1">
        <f t="array" ref="C26">IFERROR(INDEX('03.Muestra'!$F$8:$F$42,SMALL(IF("Página Web"='03.Muestra'!$D$8:$D$42,ROW('03.Muestra'!$F$8:$F$42)-MIN(ROW('03.Muestra'!$D$8:$D$42))+1,""),ROW()-18)),"")</f>
        <v xml:space="preserve"> https://www.crtm.es/billetes-y-tarifas/tarjeta-transporte-publico/preguntas-frecuentes/#item23</v>
      </c>
      <c r="D26" s="130" t="s">
        <v>25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Billetes y abonos (Metro)</v>
      </c>
      <c r="C27" s="114" t="str" cm="1">
        <f t="array" ref="C27">IFERROR(INDEX('03.Muestra'!$F$8:$F$42,SMALL(IF("Página Web"='03.Muestra'!$D$8:$D$42,ROW('03.Muestra'!$F$8:$F$42)-MIN(ROW('03.Muestra'!$D$8:$D$42))+1,""),ROW()-18)),"")</f>
        <v>https://www.crtm.es/billetes-y-tarifas/billetes-y-abonos/metro/?idPestana=1&amp;lang=#item10</v>
      </c>
      <c r="D27" s="130" t="s">
        <v>25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Billetes y tarifas (App)</v>
      </c>
      <c r="C28" s="114" t="str" cm="1">
        <f t="array" ref="C28">IFERROR(INDEX('03.Muestra'!$F$8:$F$42,SMALL(IF("Página Web"='03.Muestra'!$D$8:$D$42,ROW('03.Muestra'!$F$8:$F$42)-MIN(ROW('03.Muestra'!$D$8:$D$42))+1,""),ROW()-18)),"")</f>
        <v>https://www.crtm.es/billetes-y-tarifas/apps/</v>
      </c>
      <c r="D28" s="130" t="s">
        <v>25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Atención al cliente</v>
      </c>
      <c r="C29" s="114" t="str" cm="1">
        <f t="array" ref="C29">IFERROR(INDEX('03.Muestra'!$F$8:$F$42,SMALL(IF("Página Web"='03.Muestra'!$D$8:$D$42,ROW('03.Muestra'!$F$8:$F$42)-MIN(ROW('03.Muestra'!$D$8:$D$42))+1,""),ROW()-18)),"")</f>
        <v>https://www.crtm.es/atencion-al-cliente/</v>
      </c>
      <c r="D29" s="130" t="s">
        <v>25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Conócenos</v>
      </c>
      <c r="C30" s="114" t="str" cm="1">
        <f t="array" ref="C30">IFERROR(INDEX('03.Muestra'!$F$8:$F$42,SMALL(IF("Página Web"='03.Muestra'!$D$8:$D$42,ROW('03.Muestra'!$F$8:$F$42)-MIN(ROW('03.Muestra'!$D$8:$D$42))+1,""),ROW()-18)),"")</f>
        <v>https://www.crtm.es/conocenos/#CentrodeDocumentacion</v>
      </c>
      <c r="D30" s="130" t="s">
        <v>25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Actualidad del servicio</v>
      </c>
      <c r="C31" s="114" t="str" cm="1">
        <f t="array" ref="C31">IFERROR(INDEX('03.Muestra'!$F$8:$F$42,SMALL(IF("Página Web"='03.Muestra'!$D$8:$D$42,ROW('03.Muestra'!$F$8:$F$42)-MIN(ROW('03.Muestra'!$D$8:$D$42))+1,""),ROW()-18)),"")</f>
        <v>https://www.crtm.es/comunicacion/actualidad-del-servicio/?idPestana=1&amp;lang=es</v>
      </c>
      <c r="D31" s="130" t="s">
        <v>25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Galería de fotos</v>
      </c>
      <c r="C32" s="114" t="str" cm="1">
        <f t="array" ref="C32">IFERROR(INDEX('03.Muestra'!$F$8:$F$42,SMALL(IF("Página Web"='03.Muestra'!$D$8:$D$42,ROW('03.Muestra'!$F$8:$F$42)-MIN(ROW('03.Muestra'!$D$8:$D$42))+1,""),ROW()-18)),"")</f>
        <v>https://www.crtm.es/comunicacion/multimedia/galeria-de-fotos/</v>
      </c>
      <c r="D32" s="130" t="s">
        <v>25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https://www.crtm.es/mapa-web</v>
      </c>
      <c r="D33" s="130" t="s">
        <v>25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Protección de datos</v>
      </c>
      <c r="C34" s="114" t="str" cm="1">
        <f t="array" ref="C34">IFERROR(INDEX('03.Muestra'!$F$8:$F$42,SMALL(IF("Página Web"='03.Muestra'!$D$8:$D$42,ROW('03.Muestra'!$F$8:$F$42)-MIN(ROW('03.Muestra'!$D$8:$D$42))+1,""),ROW()-18)),"")</f>
        <v>https://www.crtm.es/proteccion-de-datos</v>
      </c>
      <c r="D34" s="130" t="s">
        <v>25</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Política de cookies</v>
      </c>
      <c r="C35" s="114" t="str" cm="1">
        <f t="array" ref="C35">IFERROR(INDEX('03.Muestra'!$F$8:$F$42,SMALL(IF("Página Web"='03.Muestra'!$D$8:$D$42,ROW('03.Muestra'!$F$8:$F$42)-MIN(ROW('03.Muestra'!$D$8:$D$42))+1,""),ROW()-18)),"")</f>
        <v>https://www.crtm.es/politica-de-cookies</v>
      </c>
      <c r="D35" s="130" t="s">
        <v>25</v>
      </c>
      <c r="E35" s="107" t="str">
        <f t="shared" si="0"/>
        <v/>
      </c>
      <c r="F35" s="19"/>
      <c r="G35" s="19"/>
      <c r="H35" s="19"/>
      <c r="I35" s="19"/>
      <c r="J35" s="19"/>
      <c r="K35" s="19"/>
    </row>
    <row r="36" spans="1:11"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Aviso Legal</v>
      </c>
      <c r="C36" s="114" t="str" cm="1">
        <f t="array" ref="C36">IFERROR(INDEX('03.Muestra'!$F$8:$F$42,SMALL(IF("Página Web"='03.Muestra'!$D$8:$D$42,ROW('03.Muestra'!$F$8:$F$42)-MIN(ROW('03.Muestra'!$D$8:$D$42))+1,""),ROW()-18)),"")</f>
        <v>https://www.crtm.es/aviso-legal</v>
      </c>
      <c r="D36" s="130" t="s">
        <v>25</v>
      </c>
      <c r="E36" s="107" t="str">
        <f t="shared" si="0"/>
        <v/>
      </c>
      <c r="F36" s="19"/>
      <c r="G36" s="19"/>
      <c r="H36" s="19"/>
      <c r="I36" s="19"/>
      <c r="J36" s="19"/>
      <c r="K36" s="19"/>
    </row>
    <row r="37" spans="1:11"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Normativa</v>
      </c>
      <c r="C37" s="114" t="str" cm="1">
        <f t="array" ref="C37">IFERROR(INDEX('03.Muestra'!$F$8:$F$42,SMALL(IF("Página Web"='03.Muestra'!$D$8:$D$42,ROW('03.Muestra'!$F$8:$F$42)-MIN(ROW('03.Muestra'!$D$8:$D$42))+1,""),ROW()-18)),"")</f>
        <v>https://www.crtm.es/normativa</v>
      </c>
      <c r="D37" s="130" t="s">
        <v>25</v>
      </c>
      <c r="E37" s="107" t="str">
        <f t="shared" si="0"/>
        <v/>
      </c>
      <c r="F37" s="19"/>
      <c r="G37" s="19"/>
      <c r="H37" s="19"/>
      <c r="I37" s="19"/>
      <c r="J37" s="19"/>
      <c r="K37" s="19"/>
    </row>
    <row r="38" spans="1:11"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Accesibilidad</v>
      </c>
      <c r="C38" s="114" t="str" cm="1">
        <f t="array" ref="C38">IFERROR(INDEX('03.Muestra'!$F$8:$F$42,SMALL(IF("Página Web"='03.Muestra'!$D$8:$D$42,ROW('03.Muestra'!$F$8:$F$42)-MIN(ROW('03.Muestra'!$D$8:$D$42))+1,""),ROW()-18)),"")</f>
        <v>https://www.crtm.es/accesibilidad</v>
      </c>
      <c r="D38" s="130" t="s">
        <v>25</v>
      </c>
      <c r="E38" s="107" t="str">
        <f t="shared" si="0"/>
        <v/>
      </c>
      <c r="F38" s="19"/>
      <c r="G38" s="19"/>
      <c r="H38" s="19"/>
      <c r="I38" s="19"/>
      <c r="J38" s="19"/>
      <c r="K38" s="19"/>
    </row>
    <row r="39" spans="1:11" ht="12" customHeight="1">
      <c r="A39" s="219" cm="1">
        <f t="array" ref="A39">IFERROR(INDEX('03.Muestra'!$B$8:$B$42,SMALL(IF("Página Web"='03.Muestra'!$D$8:$D$42,ROW('03.Muestra'!$B$8:$B$42)-MIN(ROW('03.Muestra'!$D$8:$D$42))+1,""),ROW()-18)),"")</f>
        <v>21</v>
      </c>
      <c r="B39" s="114" t="str" cm="1">
        <f t="array" ref="B39">IFERROR(INDEX('03.Muestra'!$C$8:$C$42,SMALL(IF("Página Web"='03.Muestra'!$D$8:$D$42,ROW('03.Muestra'!$C$8:$C$42)-MIN(ROW('03.Muestra'!$D$8:$D$42))+1,""),ROW()-18)),"")</f>
        <v>Modo accesible</v>
      </c>
      <c r="C39" s="114" t="str" cm="1">
        <f t="array" ref="C39">IFERROR(INDEX('03.Muestra'!$F$8:$F$42,SMALL(IF("Página Web"='03.Muestra'!$D$8:$D$42,ROW('03.Muestra'!$F$8:$F$42)-MIN(ROW('03.Muestra'!$D$8:$D$42))+1,""),ROW()-18)),"")</f>
        <v>https://www.crtm.es/</v>
      </c>
      <c r="D39" s="130" t="s">
        <v>25</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Red de metro</v>
      </c>
      <c r="C58" s="114"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21</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Líneas de metro</v>
      </c>
      <c r="C59" s="114"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Estaciones Aeropuerto T1-T2-T3</v>
      </c>
      <c r="C60" s="114"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Muévete por Madrid</v>
      </c>
      <c r="C61" s="114" t="str" cm="1">
        <f t="array" ref="C61">IFERROR(INDEX('03.Muestra'!$F$8:$F$42,SMALL(IF("Página Web"='03.Muestra'!$D$8:$D$42,ROW('03.Muestra'!$F$8:$F$42)-MIN(ROW('03.Muestra'!$D$8:$D$42))+1,""),ROW()-56)),"")</f>
        <v>https://www.crtm.es/muevete-por-madrid/</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conexiones con aeropuerto y principales estaciones</v>
      </c>
      <c r="C62" s="114"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desplazados Ucranianos</v>
      </c>
      <c r="C63" s="114"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Preguntas frecuentes (Tarjeta transporte público personal)</v>
      </c>
      <c r="C64" s="114"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Billetes y abonos (Metro)</v>
      </c>
      <c r="C65" s="114"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Billetes y tarifas (App)</v>
      </c>
      <c r="C66" s="114"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Atención al cliente</v>
      </c>
      <c r="C67" s="114"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Conócenos</v>
      </c>
      <c r="C68" s="114"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Actualidad del servicio</v>
      </c>
      <c r="C69" s="114"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Galería de fotos</v>
      </c>
      <c r="C70" s="114"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https://www.crtm.es/mapa-web</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Protección de datos</v>
      </c>
      <c r="C72" s="114"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Política de cookies</v>
      </c>
      <c r="C73" s="114"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233"/>
    </row>
    <row r="74" spans="1:11"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Aviso Legal</v>
      </c>
      <c r="C74" s="114" t="str" cm="1">
        <f t="array" ref="C74">IFERROR(INDEX('03.Muestra'!$F$8:$F$42,SMALL(IF("Página Web"='03.Muestra'!$D$8:$D$42,ROW('03.Muestra'!$F$8:$F$42)-MIN(ROW('03.Muestra'!$D$8:$D$42))+1,""),ROW()-56)),"")</f>
        <v>https://www.crtm.es/aviso-legal</v>
      </c>
      <c r="D74" s="130" t="s">
        <v>34</v>
      </c>
      <c r="E74" s="107" t="str">
        <f t="shared" si="2"/>
        <v/>
      </c>
      <c r="F74" s="19"/>
      <c r="G74" s="19"/>
      <c r="H74" s="19"/>
      <c r="I74" s="19"/>
      <c r="J74" s="19"/>
      <c r="K74" s="233"/>
    </row>
    <row r="75" spans="1:11"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Normativa</v>
      </c>
      <c r="C75" s="114" t="str" cm="1">
        <f t="array" ref="C75">IFERROR(INDEX('03.Muestra'!$F$8:$F$42,SMALL(IF("Página Web"='03.Muestra'!$D$8:$D$42,ROW('03.Muestra'!$F$8:$F$42)-MIN(ROW('03.Muestra'!$D$8:$D$42))+1,""),ROW()-56)),"")</f>
        <v>https://www.crtm.es/normativa</v>
      </c>
      <c r="D75" s="130" t="s">
        <v>34</v>
      </c>
      <c r="E75" s="107" t="str">
        <f t="shared" si="2"/>
        <v/>
      </c>
      <c r="F75" s="19"/>
      <c r="G75" s="19"/>
      <c r="H75" s="19"/>
      <c r="I75" s="19"/>
      <c r="J75" s="19"/>
      <c r="K75" s="233"/>
    </row>
    <row r="76" spans="1:11"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Accesibilidad</v>
      </c>
      <c r="C76" s="114" t="str" cm="1">
        <f t="array" ref="C76">IFERROR(INDEX('03.Muestra'!$F$8:$F$42,SMALL(IF("Página Web"='03.Muestra'!$D$8:$D$42,ROW('03.Muestra'!$F$8:$F$42)-MIN(ROW('03.Muestra'!$D$8:$D$42))+1,""),ROW()-56)),"")</f>
        <v>https://www.crtm.es/accesibilidad</v>
      </c>
      <c r="D76" s="130" t="s">
        <v>34</v>
      </c>
      <c r="E76" s="107" t="str">
        <f t="shared" si="2"/>
        <v/>
      </c>
      <c r="F76" s="19"/>
      <c r="G76" s="19"/>
      <c r="H76" s="19"/>
      <c r="I76" s="19"/>
      <c r="J76" s="19"/>
      <c r="K76" s="233"/>
    </row>
    <row r="77" spans="1:11" ht="12" customHeight="1">
      <c r="A77" s="219" cm="1">
        <f t="array" ref="A77">IFERROR(INDEX('03.Muestra'!$B$8:$B$42,SMALL(IF("Página Web"='03.Muestra'!$D$8:$D$42,ROW('03.Muestra'!$B$8:$B$42)-MIN(ROW('03.Muestra'!$D$8:$D$42))+1,""),ROW()-56)),"")</f>
        <v>21</v>
      </c>
      <c r="B77" s="114" t="str" cm="1">
        <f t="array" ref="B77">IFERROR(INDEX('03.Muestra'!$C$8:$C$42,SMALL(IF("Página Web"='03.Muestra'!$D$8:$D$42,ROW('03.Muestra'!$C$8:$C$42)-MIN(ROW('03.Muestra'!$D$8:$D$42))+1,""),ROW()-56)),"")</f>
        <v>Modo accesible</v>
      </c>
      <c r="C77" s="114" t="str" cm="1">
        <f t="array" ref="C77">IFERROR(INDEX('03.Muestra'!$F$8:$F$42,SMALL(IF("Página Web"='03.Muestra'!$D$8:$D$42,ROW('03.Muestra'!$F$8:$F$42)-MIN(ROW('03.Muestra'!$D$8:$D$42))+1,""),ROW()-56)),"")</f>
        <v>https://www.crtm.es/</v>
      </c>
      <c r="D77" s="130" t="s">
        <v>34</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Red de metro</v>
      </c>
      <c r="C96" s="114"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21</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Líneas de metro</v>
      </c>
      <c r="C97" s="114"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Estaciones Aeropuerto T1-T2-T3</v>
      </c>
      <c r="C98" s="114"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Muévete por Madrid</v>
      </c>
      <c r="C99" s="114" t="str" cm="1">
        <f t="array" ref="C99">IFERROR(INDEX('03.Muestra'!$F$8:$F$42,SMALL(IF("Página Web"='03.Muestra'!$D$8:$D$42,ROW('03.Muestra'!$F$8:$F$42)-MIN(ROW('03.Muestra'!$D$8:$D$42))+1,""),ROW()-94)),"")</f>
        <v>https://www.crtm.es/muevete-por-madrid/</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conexiones con aeropuerto y principales estaciones</v>
      </c>
      <c r="C100" s="114"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desplazados Ucranianos</v>
      </c>
      <c r="C101" s="114"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Preguntas frecuentes (Tarjeta transporte público personal)</v>
      </c>
      <c r="C102" s="114"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Billetes y abonos (Metro)</v>
      </c>
      <c r="C103" s="114"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Billetes y tarifas (App)</v>
      </c>
      <c r="C104" s="114"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Atención al cliente</v>
      </c>
      <c r="C105" s="114"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Conócenos</v>
      </c>
      <c r="C106" s="114"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Actualidad del servicio</v>
      </c>
      <c r="C107" s="114"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Galería de fotos</v>
      </c>
      <c r="C108" s="114"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Protección de datos</v>
      </c>
      <c r="C110" s="114"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Política de cookies</v>
      </c>
      <c r="C111" s="114"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233"/>
    </row>
    <row r="112" spans="1:11"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Aviso Legal</v>
      </c>
      <c r="C112" s="114"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233"/>
    </row>
    <row r="113" spans="1:11"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Normativa</v>
      </c>
      <c r="C113" s="114"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233"/>
    </row>
    <row r="114" spans="1:11"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Accesibilidad</v>
      </c>
      <c r="C114" s="114" t="str" cm="1">
        <f t="array" ref="C114">IFERROR(INDEX('03.Muestra'!$F$8:$F$42,SMALL(IF("Página Web"='03.Muestra'!$D$8:$D$42,ROW('03.Muestra'!$F$8:$F$42)-MIN(ROW('03.Muestra'!$D$8:$D$42))+1,""),ROW()-94)),"")</f>
        <v>https://www.crtm.es/accesibilidad</v>
      </c>
      <c r="D114" s="130" t="s">
        <v>34</v>
      </c>
      <c r="E114" s="107" t="str">
        <f t="shared" si="4"/>
        <v/>
      </c>
      <c r="F114" s="19"/>
      <c r="G114" s="19"/>
      <c r="H114" s="19"/>
      <c r="I114" s="19"/>
      <c r="J114" s="19"/>
      <c r="K114" s="233"/>
    </row>
    <row r="115" spans="1:11" ht="12" customHeight="1">
      <c r="A115" s="219" cm="1">
        <f t="array" ref="A115">IFERROR(INDEX('03.Muestra'!$B$8:$B$42,SMALL(IF("Página Web"='03.Muestra'!$D$8:$D$42,ROW('03.Muestra'!$B$8:$B$42)-MIN(ROW('03.Muestra'!$D$8:$D$42))+1,""),ROW()-94)),"")</f>
        <v>21</v>
      </c>
      <c r="B115" s="114" t="str" cm="1">
        <f t="array" ref="B115">IFERROR(INDEX('03.Muestra'!$C$8:$C$42,SMALL(IF("Página Web"='03.Muestra'!$D$8:$D$42,ROW('03.Muestra'!$C$8:$C$42)-MIN(ROW('03.Muestra'!$D$8:$D$42))+1,""),ROW()-94)),"")</f>
        <v>Modo accesible</v>
      </c>
      <c r="C115" s="114" t="str" cm="1">
        <f t="array" ref="C115">IFERROR(INDEX('03.Muestra'!$F$8:$F$42,SMALL(IF("Página Web"='03.Muestra'!$D$8:$D$42,ROW('03.Muestra'!$F$8:$F$42)-MIN(ROW('03.Muestra'!$D$8:$D$42))+1,""),ROW()-94)),"")</f>
        <v>https://www.crtm.es/</v>
      </c>
      <c r="D115" s="130" t="s">
        <v>34</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https://www.crtm.es/</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Red de metro</v>
      </c>
      <c r="C134" s="114" t="str" cm="1">
        <f t="array" ref="C134">IFERROR(INDEX('03.Muestra'!$F$8:$F$42,SMALL(IF("Página Web"='03.Muestra'!$D$8:$D$42,ROW('03.Muestra'!$F$8:$F$42)-MIN(ROW('03.Muestra'!$D$8:$D$42))+1,""),ROW()-132)),"")</f>
        <v>https://www.crtm.es/tu-transporte-publico/metro/</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21</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Líneas de metro</v>
      </c>
      <c r="C135" s="114" t="str" cm="1">
        <f t="array" ref="C135">IFERROR(INDEX('03.Muestra'!$F$8:$F$42,SMALL(IF("Página Web"='03.Muestra'!$D$8:$D$42,ROW('03.Muestra'!$F$8:$F$42)-MIN(ROW('03.Muestra'!$D$8:$D$42))+1,""),ROW()-132)),"")</f>
        <v>https://www.crtm.es/tu-transporte-publico/metro/lineas/4__1___</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Estaciones Aeropuerto T1-T2-T3</v>
      </c>
      <c r="C136" s="114" t="str" cm="1">
        <f t="array" ref="C136">IFERROR(INDEX('03.Muestra'!$F$8:$F$42,SMALL(IF("Página Web"='03.Muestra'!$D$8:$D$42,ROW('03.Muestra'!$F$8:$F$42)-MIN(ROW('03.Muestra'!$D$8:$D$42))+1,""),ROW()-132)),"")</f>
        <v>https://www.crtm.es/tu-transporte-publico/metro/estaciones/4_159</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Muévete por Madrid</v>
      </c>
      <c r="C137" s="114" t="str" cm="1">
        <f t="array" ref="C137">IFERROR(INDEX('03.Muestra'!$F$8:$F$42,SMALL(IF("Página Web"='03.Muestra'!$D$8:$D$42,ROW('03.Muestra'!$F$8:$F$42)-MIN(ROW('03.Muestra'!$D$8:$D$42))+1,""),ROW()-132)),"")</f>
        <v>https://www.crtm.es/muevete-por-madrid/</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conexiones con aeropuerto y principales estaciones</v>
      </c>
      <c r="C138" s="114" t="str" cm="1">
        <f t="array" ref="C138">IFERROR(INDEX('03.Muestra'!$F$8:$F$42,SMALL(IF("Página Web"='03.Muestra'!$D$8:$D$42,ROW('03.Muestra'!$F$8:$F$42)-MIN(ROW('03.Muestra'!$D$8:$D$42))+1,""),ROW()-132)),"")</f>
        <v xml:space="preserve">https://www.crtm.es/muevete-por-madrid/conexiones-con-aeropuerto-y-principales-estaciones/ </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desplazados Ucranianos</v>
      </c>
      <c r="C139" s="114" t="str" cm="1">
        <f t="array" ref="C139">IFERROR(INDEX('03.Muestra'!$F$8:$F$42,SMALL(IF("Página Web"='03.Muestra'!$D$8:$D$42,ROW('03.Muestra'!$F$8:$F$42)-MIN(ROW('03.Muestra'!$D$8:$D$42))+1,""),ROW()-132)),"")</f>
        <v>https://www.crtm.es/atencion-desplazados-ucranianos/#item3</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Preguntas frecuentes (Tarjeta transporte público personal)</v>
      </c>
      <c r="C140" s="114" t="str" cm="1">
        <f t="array" ref="C140">IFERROR(INDEX('03.Muestra'!$F$8:$F$42,SMALL(IF("Página Web"='03.Muestra'!$D$8:$D$42,ROW('03.Muestra'!$F$8:$F$42)-MIN(ROW('03.Muestra'!$D$8:$D$42))+1,""),ROW()-132)),"")</f>
        <v xml:space="preserve"> https://www.crtm.es/billetes-y-tarifas/tarjeta-transporte-publico/preguntas-frecuentes/#item23</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Billetes y abonos (Metro)</v>
      </c>
      <c r="C141" s="114" t="str" cm="1">
        <f t="array" ref="C141">IFERROR(INDEX('03.Muestra'!$F$8:$F$42,SMALL(IF("Página Web"='03.Muestra'!$D$8:$D$42,ROW('03.Muestra'!$F$8:$F$42)-MIN(ROW('03.Muestra'!$D$8:$D$42))+1,""),ROW()-132)),"")</f>
        <v>https://www.crtm.es/billetes-y-tarifas/billetes-y-abonos/metro/?idPestana=1&amp;lang=#item10</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Billetes y tarifas (App)</v>
      </c>
      <c r="C142" s="114" t="str" cm="1">
        <f t="array" ref="C142">IFERROR(INDEX('03.Muestra'!$F$8:$F$42,SMALL(IF("Página Web"='03.Muestra'!$D$8:$D$42,ROW('03.Muestra'!$F$8:$F$42)-MIN(ROW('03.Muestra'!$D$8:$D$42))+1,""),ROW()-132)),"")</f>
        <v>https://www.crtm.es/billetes-y-tarifas/apps/</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Atención al cliente</v>
      </c>
      <c r="C143" s="114" t="str" cm="1">
        <f t="array" ref="C143">IFERROR(INDEX('03.Muestra'!$F$8:$F$42,SMALL(IF("Página Web"='03.Muestra'!$D$8:$D$42,ROW('03.Muestra'!$F$8:$F$42)-MIN(ROW('03.Muestra'!$D$8:$D$42))+1,""),ROW()-132)),"")</f>
        <v>https://www.crtm.es/atencion-al-cliente/</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Conócenos</v>
      </c>
      <c r="C144" s="114" t="str" cm="1">
        <f t="array" ref="C144">IFERROR(INDEX('03.Muestra'!$F$8:$F$42,SMALL(IF("Página Web"='03.Muestra'!$D$8:$D$42,ROW('03.Muestra'!$F$8:$F$42)-MIN(ROW('03.Muestra'!$D$8:$D$42))+1,""),ROW()-132)),"")</f>
        <v>https://www.crtm.es/conocenos/#CentrodeDocumentacion</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Actualidad del servicio</v>
      </c>
      <c r="C145" s="114" t="str" cm="1">
        <f t="array" ref="C145">IFERROR(INDEX('03.Muestra'!$F$8:$F$42,SMALL(IF("Página Web"='03.Muestra'!$D$8:$D$42,ROW('03.Muestra'!$F$8:$F$42)-MIN(ROW('03.Muestra'!$D$8:$D$42))+1,""),ROW()-132)),"")</f>
        <v>https://www.crtm.es/comunicacion/actualidad-del-servicio/?idPestana=1&amp;lang=es</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Galería de fotos</v>
      </c>
      <c r="C146" s="114" t="str" cm="1">
        <f t="array" ref="C146">IFERROR(INDEX('03.Muestra'!$F$8:$F$42,SMALL(IF("Página Web"='03.Muestra'!$D$8:$D$42,ROW('03.Muestra'!$F$8:$F$42)-MIN(ROW('03.Muestra'!$D$8:$D$42))+1,""),ROW()-132)),"")</f>
        <v>https://www.crtm.es/comunicacion/multimedia/galeria-de-fotos/</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https://www.crtm.es/mapa-web</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Protección de datos</v>
      </c>
      <c r="C148" s="114" t="str" cm="1">
        <f t="array" ref="C148">IFERROR(INDEX('03.Muestra'!$F$8:$F$42,SMALL(IF("Página Web"='03.Muestra'!$D$8:$D$42,ROW('03.Muestra'!$F$8:$F$42)-MIN(ROW('03.Muestra'!$D$8:$D$42))+1,""),ROW()-132)),"")</f>
        <v>https://www.crtm.es/proteccion-de-datos</v>
      </c>
      <c r="D148" s="130" t="s">
        <v>34</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Política de cookies</v>
      </c>
      <c r="C149" s="114" t="str" cm="1">
        <f t="array" ref="C149">IFERROR(INDEX('03.Muestra'!$F$8:$F$42,SMALL(IF("Página Web"='03.Muestra'!$D$8:$D$42,ROW('03.Muestra'!$F$8:$F$42)-MIN(ROW('03.Muestra'!$D$8:$D$42))+1,""),ROW()-132)),"")</f>
        <v>https://www.crtm.es/politica-de-cookies</v>
      </c>
      <c r="D149" s="130" t="s">
        <v>34</v>
      </c>
      <c r="E149" s="107" t="str">
        <f t="shared" si="6"/>
        <v/>
      </c>
      <c r="F149" s="19"/>
      <c r="G149" s="19"/>
      <c r="H149" s="19"/>
      <c r="I149" s="19"/>
      <c r="J149" s="19"/>
      <c r="K149" s="233"/>
    </row>
    <row r="150" spans="1:11"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Aviso Legal</v>
      </c>
      <c r="C150" s="114" t="str" cm="1">
        <f t="array" ref="C150">IFERROR(INDEX('03.Muestra'!$F$8:$F$42,SMALL(IF("Página Web"='03.Muestra'!$D$8:$D$42,ROW('03.Muestra'!$F$8:$F$42)-MIN(ROW('03.Muestra'!$D$8:$D$42))+1,""),ROW()-132)),"")</f>
        <v>https://www.crtm.es/aviso-legal</v>
      </c>
      <c r="D150" s="130" t="s">
        <v>34</v>
      </c>
      <c r="E150" s="107" t="str">
        <f t="shared" si="6"/>
        <v/>
      </c>
      <c r="F150" s="19"/>
      <c r="G150" s="19"/>
      <c r="H150" s="19"/>
      <c r="I150" s="19"/>
      <c r="J150" s="19"/>
      <c r="K150" s="233"/>
    </row>
    <row r="151" spans="1:11"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Normativa</v>
      </c>
      <c r="C151" s="114" t="str" cm="1">
        <f t="array" ref="C151">IFERROR(INDEX('03.Muestra'!$F$8:$F$42,SMALL(IF("Página Web"='03.Muestra'!$D$8:$D$42,ROW('03.Muestra'!$F$8:$F$42)-MIN(ROW('03.Muestra'!$D$8:$D$42))+1,""),ROW()-132)),"")</f>
        <v>https://www.crtm.es/normativa</v>
      </c>
      <c r="D151" s="130" t="s">
        <v>34</v>
      </c>
      <c r="E151" s="107" t="str">
        <f t="shared" si="6"/>
        <v/>
      </c>
      <c r="F151" s="19"/>
      <c r="G151" s="19"/>
      <c r="H151" s="19"/>
      <c r="I151" s="19"/>
      <c r="J151" s="19"/>
      <c r="K151" s="233"/>
    </row>
    <row r="152" spans="1:11"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Accesibilidad</v>
      </c>
      <c r="C152" s="114" t="str" cm="1">
        <f t="array" ref="C152">IFERROR(INDEX('03.Muestra'!$F$8:$F$42,SMALL(IF("Página Web"='03.Muestra'!$D$8:$D$42,ROW('03.Muestra'!$F$8:$F$42)-MIN(ROW('03.Muestra'!$D$8:$D$42))+1,""),ROW()-132)),"")</f>
        <v>https://www.crtm.es/accesibilidad</v>
      </c>
      <c r="D152" s="130" t="s">
        <v>34</v>
      </c>
      <c r="E152" s="107" t="str">
        <f t="shared" si="6"/>
        <v/>
      </c>
      <c r="F152" s="19"/>
      <c r="G152" s="19"/>
      <c r="H152" s="19"/>
      <c r="I152" s="19"/>
      <c r="J152" s="19"/>
      <c r="K152" s="233"/>
    </row>
    <row r="153" spans="1:11" ht="12" customHeight="1">
      <c r="A153" s="219" cm="1">
        <f t="array" ref="A153">IFERROR(INDEX('03.Muestra'!$B$8:$B$42,SMALL(IF("Página Web"='03.Muestra'!$D$8:$D$42,ROW('03.Muestra'!$B$8:$B$42)-MIN(ROW('03.Muestra'!$D$8:$D$42))+1,""),ROW()-132)),"")</f>
        <v>21</v>
      </c>
      <c r="B153" s="114" t="str" cm="1">
        <f t="array" ref="B153">IFERROR(INDEX('03.Muestra'!$C$8:$C$42,SMALL(IF("Página Web"='03.Muestra'!$D$8:$D$42,ROW('03.Muestra'!$C$8:$C$42)-MIN(ROW('03.Muestra'!$D$8:$D$42))+1,""),ROW()-132)),"")</f>
        <v>Modo accesible</v>
      </c>
      <c r="C153" s="114" t="str" cm="1">
        <f t="array" ref="C153">IFERROR(INDEX('03.Muestra'!$F$8:$F$42,SMALL(IF("Página Web"='03.Muestra'!$D$8:$D$42,ROW('03.Muestra'!$F$8:$F$42)-MIN(ROW('03.Muestra'!$D$8:$D$42))+1,""),ROW()-132)),"")</f>
        <v>https://www.crtm.es/</v>
      </c>
      <c r="D153" s="130" t="s">
        <v>34</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ref="D154:D167" si="7">IF(AND(B154&lt;&gt;"",C154&lt;&gt;""),"N/T","")</f>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https://www.crtm.es/</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Red de metro</v>
      </c>
      <c r="C172" s="114" t="str" cm="1">
        <f t="array" ref="C172">IFERROR(INDEX('03.Muestra'!$F$8:$F$42,SMALL(IF("Página Web"='03.Muestra'!$D$8:$D$42,ROW('03.Muestra'!$F$8:$F$42)-MIN(ROW('03.Muestra'!$D$8:$D$42))+1,""),ROW()-170)),"")</f>
        <v>https://www.crtm.es/tu-transporte-publico/metro/</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21</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Líneas de metro</v>
      </c>
      <c r="C173" s="114" t="str" cm="1">
        <f t="array" ref="C173">IFERROR(INDEX('03.Muestra'!$F$8:$F$42,SMALL(IF("Página Web"='03.Muestra'!$D$8:$D$42,ROW('03.Muestra'!$F$8:$F$42)-MIN(ROW('03.Muestra'!$D$8:$D$42))+1,""),ROW()-170)),"")</f>
        <v>https://www.crtm.es/tu-transporte-publico/metro/lineas/4__1___</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Estaciones Aeropuerto T1-T2-T3</v>
      </c>
      <c r="C174" s="114" t="str" cm="1">
        <f t="array" ref="C174">IFERROR(INDEX('03.Muestra'!$F$8:$F$42,SMALL(IF("Página Web"='03.Muestra'!$D$8:$D$42,ROW('03.Muestra'!$F$8:$F$42)-MIN(ROW('03.Muestra'!$D$8:$D$42))+1,""),ROW()-170)),"")</f>
        <v>https://www.crtm.es/tu-transporte-publico/metro/estaciones/4_159</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Muévete por Madrid</v>
      </c>
      <c r="C175" s="114" t="str" cm="1">
        <f t="array" ref="C175">IFERROR(INDEX('03.Muestra'!$F$8:$F$42,SMALL(IF("Página Web"='03.Muestra'!$D$8:$D$42,ROW('03.Muestra'!$F$8:$F$42)-MIN(ROW('03.Muestra'!$D$8:$D$42))+1,""),ROW()-170)),"")</f>
        <v>https://www.crtm.es/muevete-por-madrid/</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conexiones con aeropuerto y principales estaciones</v>
      </c>
      <c r="C176" s="114" t="str" cm="1">
        <f t="array" ref="C176">IFERROR(INDEX('03.Muestra'!$F$8:$F$42,SMALL(IF("Página Web"='03.Muestra'!$D$8:$D$42,ROW('03.Muestra'!$F$8:$F$42)-MIN(ROW('03.Muestra'!$D$8:$D$42))+1,""),ROW()-170)),"")</f>
        <v xml:space="preserve">https://www.crtm.es/muevete-por-madrid/conexiones-con-aeropuerto-y-principales-estaciones/ </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desplazados Ucranianos</v>
      </c>
      <c r="C177" s="114" t="str" cm="1">
        <f t="array" ref="C177">IFERROR(INDEX('03.Muestra'!$F$8:$F$42,SMALL(IF("Página Web"='03.Muestra'!$D$8:$D$42,ROW('03.Muestra'!$F$8:$F$42)-MIN(ROW('03.Muestra'!$D$8:$D$42))+1,""),ROW()-170)),"")</f>
        <v>https://www.crtm.es/atencion-desplazados-ucranianos/#item3</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Preguntas frecuentes (Tarjeta transporte público personal)</v>
      </c>
      <c r="C178" s="114" t="str" cm="1">
        <f t="array" ref="C178">IFERROR(INDEX('03.Muestra'!$F$8:$F$42,SMALL(IF("Página Web"='03.Muestra'!$D$8:$D$42,ROW('03.Muestra'!$F$8:$F$42)-MIN(ROW('03.Muestra'!$D$8:$D$42))+1,""),ROW()-170)),"")</f>
        <v xml:space="preserve"> https://www.crtm.es/billetes-y-tarifas/tarjeta-transporte-publico/preguntas-frecuentes/#item23</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Billetes y abonos (Metro)</v>
      </c>
      <c r="C179" s="114" t="str" cm="1">
        <f t="array" ref="C179">IFERROR(INDEX('03.Muestra'!$F$8:$F$42,SMALL(IF("Página Web"='03.Muestra'!$D$8:$D$42,ROW('03.Muestra'!$F$8:$F$42)-MIN(ROW('03.Muestra'!$D$8:$D$42))+1,""),ROW()-170)),"")</f>
        <v>https://www.crtm.es/billetes-y-tarifas/billetes-y-abonos/metro/?idPestana=1&amp;lang=#item10</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Billetes y tarifas (App)</v>
      </c>
      <c r="C180" s="114" t="str" cm="1">
        <f t="array" ref="C180">IFERROR(INDEX('03.Muestra'!$F$8:$F$42,SMALL(IF("Página Web"='03.Muestra'!$D$8:$D$42,ROW('03.Muestra'!$F$8:$F$42)-MIN(ROW('03.Muestra'!$D$8:$D$42))+1,""),ROW()-170)),"")</f>
        <v>https://www.crtm.es/billetes-y-tarifas/apps/</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Atención al cliente</v>
      </c>
      <c r="C181" s="114" t="str" cm="1">
        <f t="array" ref="C181">IFERROR(INDEX('03.Muestra'!$F$8:$F$42,SMALL(IF("Página Web"='03.Muestra'!$D$8:$D$42,ROW('03.Muestra'!$F$8:$F$42)-MIN(ROW('03.Muestra'!$D$8:$D$42))+1,""),ROW()-170)),"")</f>
        <v>https://www.crtm.es/atencion-al-cliente/</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Conócenos</v>
      </c>
      <c r="C182" s="114" t="str" cm="1">
        <f t="array" ref="C182">IFERROR(INDEX('03.Muestra'!$F$8:$F$42,SMALL(IF("Página Web"='03.Muestra'!$D$8:$D$42,ROW('03.Muestra'!$F$8:$F$42)-MIN(ROW('03.Muestra'!$D$8:$D$42))+1,""),ROW()-170)),"")</f>
        <v>https://www.crtm.es/conocenos/#CentrodeDocumentacion</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Actualidad del servicio</v>
      </c>
      <c r="C183" s="114" t="str" cm="1">
        <f t="array" ref="C183">IFERROR(INDEX('03.Muestra'!$F$8:$F$42,SMALL(IF("Página Web"='03.Muestra'!$D$8:$D$42,ROW('03.Muestra'!$F$8:$F$42)-MIN(ROW('03.Muestra'!$D$8:$D$42))+1,""),ROW()-170)),"")</f>
        <v>https://www.crtm.es/comunicacion/actualidad-del-servicio/?idPestana=1&amp;lang=es</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Galería de fotos</v>
      </c>
      <c r="C184" s="114" t="str" cm="1">
        <f t="array" ref="C184">IFERROR(INDEX('03.Muestra'!$F$8:$F$42,SMALL(IF("Página Web"='03.Muestra'!$D$8:$D$42,ROW('03.Muestra'!$F$8:$F$42)-MIN(ROW('03.Muestra'!$D$8:$D$42))+1,""),ROW()-170)),"")</f>
        <v>https://www.crtm.es/comunicacion/multimedia/galeria-de-fotos/</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https://www.crtm.es/mapa-web</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Protección de datos</v>
      </c>
      <c r="C186" s="114" t="str" cm="1">
        <f t="array" ref="C186">IFERROR(INDEX('03.Muestra'!$F$8:$F$42,SMALL(IF("Página Web"='03.Muestra'!$D$8:$D$42,ROW('03.Muestra'!$F$8:$F$42)-MIN(ROW('03.Muestra'!$D$8:$D$42))+1,""),ROW()-170)),"")</f>
        <v>https://www.crtm.es/proteccion-de-datos</v>
      </c>
      <c r="D186" s="130" t="s">
        <v>34</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Política de cookies</v>
      </c>
      <c r="C187" s="114" t="str" cm="1">
        <f t="array" ref="C187">IFERROR(INDEX('03.Muestra'!$F$8:$F$42,SMALL(IF("Página Web"='03.Muestra'!$D$8:$D$42,ROW('03.Muestra'!$F$8:$F$42)-MIN(ROW('03.Muestra'!$D$8:$D$42))+1,""),ROW()-170)),"")</f>
        <v>https://www.crtm.es/politica-de-cookies</v>
      </c>
      <c r="D187" s="130" t="s">
        <v>34</v>
      </c>
      <c r="E187" s="107" t="str">
        <f t="shared" si="8"/>
        <v/>
      </c>
      <c r="F187" s="19"/>
      <c r="G187" s="19"/>
      <c r="H187" s="19"/>
      <c r="I187" s="19"/>
      <c r="J187" s="19"/>
      <c r="K187" s="233"/>
    </row>
    <row r="188" spans="1:11"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Aviso Legal</v>
      </c>
      <c r="C188" s="114" t="str" cm="1">
        <f t="array" ref="C188">IFERROR(INDEX('03.Muestra'!$F$8:$F$42,SMALL(IF("Página Web"='03.Muestra'!$D$8:$D$42,ROW('03.Muestra'!$F$8:$F$42)-MIN(ROW('03.Muestra'!$D$8:$D$42))+1,""),ROW()-170)),"")</f>
        <v>https://www.crtm.es/aviso-legal</v>
      </c>
      <c r="D188" s="130" t="s">
        <v>34</v>
      </c>
      <c r="E188" s="107" t="str">
        <f t="shared" si="8"/>
        <v/>
      </c>
      <c r="F188" s="19"/>
      <c r="G188" s="19"/>
      <c r="H188" s="19"/>
      <c r="I188" s="19"/>
      <c r="J188" s="19"/>
      <c r="K188" s="233"/>
    </row>
    <row r="189" spans="1:11"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Normativa</v>
      </c>
      <c r="C189" s="114" t="str" cm="1">
        <f t="array" ref="C189">IFERROR(INDEX('03.Muestra'!$F$8:$F$42,SMALL(IF("Página Web"='03.Muestra'!$D$8:$D$42,ROW('03.Muestra'!$F$8:$F$42)-MIN(ROW('03.Muestra'!$D$8:$D$42))+1,""),ROW()-170)),"")</f>
        <v>https://www.crtm.es/normativa</v>
      </c>
      <c r="D189" s="130" t="s">
        <v>34</v>
      </c>
      <c r="E189" s="107" t="str">
        <f t="shared" si="8"/>
        <v/>
      </c>
      <c r="F189" s="19"/>
      <c r="G189" s="19"/>
      <c r="H189" s="19"/>
      <c r="I189" s="19"/>
      <c r="J189" s="19"/>
      <c r="K189" s="233"/>
    </row>
    <row r="190" spans="1:11"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Accesibilidad</v>
      </c>
      <c r="C190" s="114" t="str" cm="1">
        <f t="array" ref="C190">IFERROR(INDEX('03.Muestra'!$F$8:$F$42,SMALL(IF("Página Web"='03.Muestra'!$D$8:$D$42,ROW('03.Muestra'!$F$8:$F$42)-MIN(ROW('03.Muestra'!$D$8:$D$42))+1,""),ROW()-170)),"")</f>
        <v>https://www.crtm.es/accesibilidad</v>
      </c>
      <c r="D190" s="130" t="s">
        <v>34</v>
      </c>
      <c r="E190" s="107" t="str">
        <f t="shared" si="8"/>
        <v/>
      </c>
      <c r="F190" s="19"/>
      <c r="G190" s="19"/>
      <c r="H190" s="19"/>
      <c r="I190" s="19"/>
      <c r="J190" s="19"/>
      <c r="K190" s="233"/>
    </row>
    <row r="191" spans="1:11" ht="12" customHeight="1">
      <c r="A191" s="219" cm="1">
        <f t="array" ref="A191">IFERROR(INDEX('03.Muestra'!$B$8:$B$42,SMALL(IF("Página Web"='03.Muestra'!$D$8:$D$42,ROW('03.Muestra'!$B$8:$B$42)-MIN(ROW('03.Muestra'!$D$8:$D$42))+1,""),ROW()-170)),"")</f>
        <v>21</v>
      </c>
      <c r="B191" s="114" t="str" cm="1">
        <f t="array" ref="B191">IFERROR(INDEX('03.Muestra'!$C$8:$C$42,SMALL(IF("Página Web"='03.Muestra'!$D$8:$D$42,ROW('03.Muestra'!$C$8:$C$42)-MIN(ROW('03.Muestra'!$D$8:$D$42))+1,""),ROW()-170)),"")</f>
        <v>Modo accesible</v>
      </c>
      <c r="C191" s="114" t="str" cm="1">
        <f t="array" ref="C191">IFERROR(INDEX('03.Muestra'!$F$8:$F$42,SMALL(IF("Página Web"='03.Muestra'!$D$8:$D$42,ROW('03.Muestra'!$F$8:$F$42)-MIN(ROW('03.Muestra'!$D$8:$D$42))+1,""),ROW()-170)),"")</f>
        <v>https://www.crtm.es/</v>
      </c>
      <c r="D191" s="130" t="s">
        <v>34</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ref="D192:D205" si="9">IF(AND(B192&lt;&gt;"",C192&lt;&gt;""),"N/T","")</f>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https://www.crtm.es/</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Red de metro</v>
      </c>
      <c r="C210" s="114" t="str" cm="1">
        <f t="array" ref="C210">IFERROR(INDEX('03.Muestra'!$F$8:$F$42,SMALL(IF("Página Web"='03.Muestra'!$D$8:$D$42,ROW('03.Muestra'!$F$8:$F$42)-MIN(ROW('03.Muestra'!$D$8:$D$42))+1,""),ROW()-208)),"")</f>
        <v>https://www.crtm.es/tu-transporte-publico/metro/</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21</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Líneas de metro</v>
      </c>
      <c r="C211" s="114" t="str" cm="1">
        <f t="array" ref="C211">IFERROR(INDEX('03.Muestra'!$F$8:$F$42,SMALL(IF("Página Web"='03.Muestra'!$D$8:$D$42,ROW('03.Muestra'!$F$8:$F$42)-MIN(ROW('03.Muestra'!$D$8:$D$42))+1,""),ROW()-208)),"")</f>
        <v>https://www.crtm.es/tu-transporte-publico/metro/lineas/4__1___</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Estaciones Aeropuerto T1-T2-T3</v>
      </c>
      <c r="C212" s="114" t="str" cm="1">
        <f t="array" ref="C212">IFERROR(INDEX('03.Muestra'!$F$8:$F$42,SMALL(IF("Página Web"='03.Muestra'!$D$8:$D$42,ROW('03.Muestra'!$F$8:$F$42)-MIN(ROW('03.Muestra'!$D$8:$D$42))+1,""),ROW()-208)),"")</f>
        <v>https://www.crtm.es/tu-transporte-publico/metro/estaciones/4_159</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Muévete por Madrid</v>
      </c>
      <c r="C213" s="114" t="str" cm="1">
        <f t="array" ref="C213">IFERROR(INDEX('03.Muestra'!$F$8:$F$42,SMALL(IF("Página Web"='03.Muestra'!$D$8:$D$42,ROW('03.Muestra'!$F$8:$F$42)-MIN(ROW('03.Muestra'!$D$8:$D$42))+1,""),ROW()-208)),"")</f>
        <v>https://www.crtm.es/muevete-por-madrid/</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conexiones con aeropuerto y principales estaciones</v>
      </c>
      <c r="C214" s="114" t="str" cm="1">
        <f t="array" ref="C214">IFERROR(INDEX('03.Muestra'!$F$8:$F$42,SMALL(IF("Página Web"='03.Muestra'!$D$8:$D$42,ROW('03.Muestra'!$F$8:$F$42)-MIN(ROW('03.Muestra'!$D$8:$D$42))+1,""),ROW()-208)),"")</f>
        <v xml:space="preserve">https://www.crtm.es/muevete-por-madrid/conexiones-con-aeropuerto-y-principales-estaciones/ </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desplazados Ucranianos</v>
      </c>
      <c r="C215" s="114" t="str" cm="1">
        <f t="array" ref="C215">IFERROR(INDEX('03.Muestra'!$F$8:$F$42,SMALL(IF("Página Web"='03.Muestra'!$D$8:$D$42,ROW('03.Muestra'!$F$8:$F$42)-MIN(ROW('03.Muestra'!$D$8:$D$42))+1,""),ROW()-208)),"")</f>
        <v>https://www.crtm.es/atencion-desplazados-ucranianos/#item3</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Preguntas frecuentes (Tarjeta transporte público personal)</v>
      </c>
      <c r="C216" s="114" t="str" cm="1">
        <f t="array" ref="C216">IFERROR(INDEX('03.Muestra'!$F$8:$F$42,SMALL(IF("Página Web"='03.Muestra'!$D$8:$D$42,ROW('03.Muestra'!$F$8:$F$42)-MIN(ROW('03.Muestra'!$D$8:$D$42))+1,""),ROW()-208)),"")</f>
        <v xml:space="preserve"> https://www.crtm.es/billetes-y-tarifas/tarjeta-transporte-publico/preguntas-frecuentes/#item23</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Billetes y abonos (Metro)</v>
      </c>
      <c r="C217" s="114" t="str" cm="1">
        <f t="array" ref="C217">IFERROR(INDEX('03.Muestra'!$F$8:$F$42,SMALL(IF("Página Web"='03.Muestra'!$D$8:$D$42,ROW('03.Muestra'!$F$8:$F$42)-MIN(ROW('03.Muestra'!$D$8:$D$42))+1,""),ROW()-208)),"")</f>
        <v>https://www.crtm.es/billetes-y-tarifas/billetes-y-abonos/metro/?idPestana=1&amp;lang=#item10</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Billetes y tarifas (App)</v>
      </c>
      <c r="C218" s="114" t="str" cm="1">
        <f t="array" ref="C218">IFERROR(INDEX('03.Muestra'!$F$8:$F$42,SMALL(IF("Página Web"='03.Muestra'!$D$8:$D$42,ROW('03.Muestra'!$F$8:$F$42)-MIN(ROW('03.Muestra'!$D$8:$D$42))+1,""),ROW()-208)),"")</f>
        <v>https://www.crtm.es/billetes-y-tarifas/apps/</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Atención al cliente</v>
      </c>
      <c r="C219" s="114" t="str" cm="1">
        <f t="array" ref="C219">IFERROR(INDEX('03.Muestra'!$F$8:$F$42,SMALL(IF("Página Web"='03.Muestra'!$D$8:$D$42,ROW('03.Muestra'!$F$8:$F$42)-MIN(ROW('03.Muestra'!$D$8:$D$42))+1,""),ROW()-208)),"")</f>
        <v>https://www.crtm.es/atencion-al-cliente/</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Conócenos</v>
      </c>
      <c r="C220" s="114" t="str" cm="1">
        <f t="array" ref="C220">IFERROR(INDEX('03.Muestra'!$F$8:$F$42,SMALL(IF("Página Web"='03.Muestra'!$D$8:$D$42,ROW('03.Muestra'!$F$8:$F$42)-MIN(ROW('03.Muestra'!$D$8:$D$42))+1,""),ROW()-208)),"")</f>
        <v>https://www.crtm.es/conocenos/#CentrodeDocumentacion</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Actualidad del servicio</v>
      </c>
      <c r="C221" s="114" t="str" cm="1">
        <f t="array" ref="C221">IFERROR(INDEX('03.Muestra'!$F$8:$F$42,SMALL(IF("Página Web"='03.Muestra'!$D$8:$D$42,ROW('03.Muestra'!$F$8:$F$42)-MIN(ROW('03.Muestra'!$D$8:$D$42))+1,""),ROW()-208)),"")</f>
        <v>https://www.crtm.es/comunicacion/actualidad-del-servicio/?idPestana=1&amp;lang=es</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Galería de fotos</v>
      </c>
      <c r="C222" s="114" t="str" cm="1">
        <f t="array" ref="C222">IFERROR(INDEX('03.Muestra'!$F$8:$F$42,SMALL(IF("Página Web"='03.Muestra'!$D$8:$D$42,ROW('03.Muestra'!$F$8:$F$42)-MIN(ROW('03.Muestra'!$D$8:$D$42))+1,""),ROW()-208)),"")</f>
        <v>https://www.crtm.es/comunicacion/multimedia/galeria-de-fotos/</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https://www.crtm.es/mapa-web</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Protección de datos</v>
      </c>
      <c r="C224" s="114" t="str" cm="1">
        <f t="array" ref="C224">IFERROR(INDEX('03.Muestra'!$F$8:$F$42,SMALL(IF("Página Web"='03.Muestra'!$D$8:$D$42,ROW('03.Muestra'!$F$8:$F$42)-MIN(ROW('03.Muestra'!$D$8:$D$42))+1,""),ROW()-208)),"")</f>
        <v>https://www.crtm.es/proteccion-de-datos</v>
      </c>
      <c r="D224" s="130" t="s">
        <v>34</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Política de cookies</v>
      </c>
      <c r="C225" s="114" t="str" cm="1">
        <f t="array" ref="C225">IFERROR(INDEX('03.Muestra'!$F$8:$F$42,SMALL(IF("Página Web"='03.Muestra'!$D$8:$D$42,ROW('03.Muestra'!$F$8:$F$42)-MIN(ROW('03.Muestra'!$D$8:$D$42))+1,""),ROW()-208)),"")</f>
        <v>https://www.crtm.es/politica-de-cookies</v>
      </c>
      <c r="D225" s="130" t="s">
        <v>34</v>
      </c>
      <c r="E225" s="107" t="str">
        <f t="shared" si="10"/>
        <v/>
      </c>
      <c r="F225" s="19"/>
      <c r="G225" s="19"/>
      <c r="H225" s="19"/>
      <c r="I225" s="19"/>
      <c r="J225" s="19"/>
      <c r="K225" s="233"/>
    </row>
    <row r="226" spans="1:11"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Aviso Legal</v>
      </c>
      <c r="C226" s="114" t="str" cm="1">
        <f t="array" ref="C226">IFERROR(INDEX('03.Muestra'!$F$8:$F$42,SMALL(IF("Página Web"='03.Muestra'!$D$8:$D$42,ROW('03.Muestra'!$F$8:$F$42)-MIN(ROW('03.Muestra'!$D$8:$D$42))+1,""),ROW()-208)),"")</f>
        <v>https://www.crtm.es/aviso-legal</v>
      </c>
      <c r="D226" s="130" t="s">
        <v>34</v>
      </c>
      <c r="E226" s="107" t="str">
        <f t="shared" si="10"/>
        <v/>
      </c>
      <c r="F226" s="19"/>
      <c r="G226" s="19"/>
      <c r="H226" s="19"/>
      <c r="I226" s="19"/>
      <c r="J226" s="19"/>
      <c r="K226" s="233"/>
    </row>
    <row r="227" spans="1:11"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Normativa</v>
      </c>
      <c r="C227" s="114" t="str" cm="1">
        <f t="array" ref="C227">IFERROR(INDEX('03.Muestra'!$F$8:$F$42,SMALL(IF("Página Web"='03.Muestra'!$D$8:$D$42,ROW('03.Muestra'!$F$8:$F$42)-MIN(ROW('03.Muestra'!$D$8:$D$42))+1,""),ROW()-208)),"")</f>
        <v>https://www.crtm.es/normativa</v>
      </c>
      <c r="D227" s="130" t="s">
        <v>34</v>
      </c>
      <c r="E227" s="107" t="str">
        <f t="shared" si="10"/>
        <v/>
      </c>
      <c r="F227" s="19"/>
      <c r="G227" s="19"/>
      <c r="H227" s="19"/>
      <c r="I227" s="19"/>
      <c r="J227" s="19"/>
      <c r="K227" s="233"/>
    </row>
    <row r="228" spans="1:11"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Accesibilidad</v>
      </c>
      <c r="C228" s="114" t="str" cm="1">
        <f t="array" ref="C228">IFERROR(INDEX('03.Muestra'!$F$8:$F$42,SMALL(IF("Página Web"='03.Muestra'!$D$8:$D$42,ROW('03.Muestra'!$F$8:$F$42)-MIN(ROW('03.Muestra'!$D$8:$D$42))+1,""),ROW()-208)),"")</f>
        <v>https://www.crtm.es/accesibilidad</v>
      </c>
      <c r="D228" s="130" t="s">
        <v>34</v>
      </c>
      <c r="E228" s="107" t="str">
        <f t="shared" si="10"/>
        <v/>
      </c>
      <c r="F228" s="19"/>
      <c r="G228" s="19"/>
      <c r="H228" s="19"/>
      <c r="I228" s="19"/>
      <c r="J228" s="19"/>
      <c r="K228" s="233"/>
    </row>
    <row r="229" spans="1:11" ht="12" customHeight="1">
      <c r="A229" s="219" cm="1">
        <f t="array" ref="A229">IFERROR(INDEX('03.Muestra'!$B$8:$B$42,SMALL(IF("Página Web"='03.Muestra'!$D$8:$D$42,ROW('03.Muestra'!$B$8:$B$42)-MIN(ROW('03.Muestra'!$D$8:$D$42))+1,""),ROW()-208)),"")</f>
        <v>21</v>
      </c>
      <c r="B229" s="114" t="str" cm="1">
        <f t="array" ref="B229">IFERROR(INDEX('03.Muestra'!$C$8:$C$42,SMALL(IF("Página Web"='03.Muestra'!$D$8:$D$42,ROW('03.Muestra'!$C$8:$C$42)-MIN(ROW('03.Muestra'!$D$8:$D$42))+1,""),ROW()-208)),"")</f>
        <v>Modo accesible</v>
      </c>
      <c r="C229" s="114" t="str" cm="1">
        <f t="array" ref="C229">IFERROR(INDEX('03.Muestra'!$F$8:$F$42,SMALL(IF("Página Web"='03.Muestra'!$D$8:$D$42,ROW('03.Muestra'!$F$8:$F$42)-MIN(ROW('03.Muestra'!$D$8:$D$42))+1,""),ROW()-208)),"")</f>
        <v>https://www.crtm.es/</v>
      </c>
      <c r="D229" s="130" t="s">
        <v>34</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ref="D230:D243" si="11">IF(AND(B230&lt;&gt;"",C230&lt;&gt;""),"N/T","")</f>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91" sqref="D191"/>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70"/>
      <c r="C6" s="170"/>
      <c r="D6" s="170"/>
      <c r="E6" s="171"/>
      <c r="F6" s="170"/>
      <c r="G6" s="170"/>
      <c r="H6" s="170"/>
      <c r="I6" s="170"/>
      <c r="J6" s="170"/>
      <c r="K6" s="170"/>
      <c r="L6" s="170"/>
      <c r="M6" s="170"/>
      <c r="N6" s="19"/>
      <c r="O6" s="19"/>
    </row>
    <row r="7" spans="1:64" ht="12.65" customHeight="1">
      <c r="B7" s="19"/>
      <c r="C7" s="19"/>
      <c r="D7" s="19"/>
      <c r="E7" s="107"/>
      <c r="F7" s="19"/>
      <c r="G7" s="19"/>
      <c r="H7" s="19"/>
      <c r="I7" s="19"/>
      <c r="J7" s="19"/>
      <c r="K7" s="19"/>
      <c r="L7" s="19"/>
      <c r="M7" s="19"/>
      <c r="N7" s="19"/>
      <c r="O7" s="19"/>
    </row>
    <row r="8" spans="1:64" ht="18.899999999999999" customHeight="1">
      <c r="B8" s="111" t="s">
        <v>96</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3</v>
      </c>
      <c r="H12" s="53">
        <f ca="1">IF(($G$15+$K$15)=0,0,G12/($G$15+$K$15))</f>
        <v>2.8571428571428571E-2</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2</v>
      </c>
      <c r="H13" s="53">
        <f ca="1">IF(($G$15+$K$15)=0,0,G13/($G$15+$K$15))</f>
        <v>1.9047619047619049E-2</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100</v>
      </c>
      <c r="H14" s="53">
        <f ca="1">IF(($G$15+$K$15)=0,0,G14/($G$15+$K$15))</f>
        <v>0.95238095238095233</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105</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https://www.crtm.es/</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Red de metro</v>
      </c>
      <c r="C20" s="114" t="str" cm="1">
        <f t="array" ref="C20">IFERROR(INDEX('03.Muestra'!$F$8:$F$42,SMALL(IF("Página Web"='03.Muestra'!$D$8:$D$42,ROW('03.Muestra'!$F$8:$F$42)-MIN(ROW('03.Muestra'!$D$8:$D$42))+1,""),ROW()-18)),"")</f>
        <v>https://www.crtm.es/tu-transporte-publico/metro/</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Líneas de metro</v>
      </c>
      <c r="C21" s="114" t="str" cm="1">
        <f t="array" ref="C21">IFERROR(INDEX('03.Muestra'!$F$8:$F$42,SMALL(IF("Página Web"='03.Muestra'!$D$8:$D$42,ROW('03.Muestra'!$F$8:$F$42)-MIN(ROW('03.Muestra'!$D$8:$D$42))+1,""),ROW()-18)),"")</f>
        <v>https://www.crtm.es/tu-transporte-publico/metro/lineas/4__1___</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Estaciones Aeropuerto T1-T2-T3</v>
      </c>
      <c r="C22" s="114" t="str" cm="1">
        <f t="array" ref="C22">IFERROR(INDEX('03.Muestra'!$F$8:$F$42,SMALL(IF("Página Web"='03.Muestra'!$D$8:$D$42,ROW('03.Muestra'!$F$8:$F$42)-MIN(ROW('03.Muestra'!$D$8:$D$42))+1,""),ROW()-18)),"")</f>
        <v>https://www.crtm.es/tu-transporte-publico/metro/estaciones/4_159</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Muévete por Madrid</v>
      </c>
      <c r="C23" s="114" t="str" cm="1">
        <f t="array" ref="C23">IFERROR(INDEX('03.Muestra'!$F$8:$F$42,SMALL(IF("Página Web"='03.Muestra'!$D$8:$D$42,ROW('03.Muestra'!$F$8:$F$42)-MIN(ROW('03.Muestra'!$D$8:$D$42))+1,""),ROW()-18)),"")</f>
        <v>https://www.crtm.es/muevete-por-madrid/</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conexiones con aeropuerto y principales estaciones</v>
      </c>
      <c r="C24" s="114" t="str" cm="1">
        <f t="array" ref="C24">IFERROR(INDEX('03.Muestra'!$F$8:$F$42,SMALL(IF("Página Web"='03.Muestra'!$D$8:$D$42,ROW('03.Muestra'!$F$8:$F$42)-MIN(ROW('03.Muestra'!$D$8:$D$42))+1,""),ROW()-18)),"")</f>
        <v xml:space="preserve">https://www.crtm.es/muevete-por-madrid/conexiones-con-aeropuerto-y-principales-estaciones/ </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desplazados Ucranianos</v>
      </c>
      <c r="C25" s="114" t="str" cm="1">
        <f t="array" ref="C25">IFERROR(INDEX('03.Muestra'!$F$8:$F$42,SMALL(IF("Página Web"='03.Muestra'!$D$8:$D$42,ROW('03.Muestra'!$F$8:$F$42)-MIN(ROW('03.Muestra'!$D$8:$D$42))+1,""),ROW()-18)),"")</f>
        <v>https://www.crtm.es/atencion-desplazados-ucranianos/#item3</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Preguntas frecuentes (Tarjeta transporte público personal)</v>
      </c>
      <c r="C26" s="114" t="str" cm="1">
        <f t="array" ref="C26">IFERROR(INDEX('03.Muestra'!$F$8:$F$42,SMALL(IF("Página Web"='03.Muestra'!$D$8:$D$42,ROW('03.Muestra'!$F$8:$F$42)-MIN(ROW('03.Muestra'!$D$8:$D$42))+1,""),ROW()-18)),"")</f>
        <v xml:space="preserve"> https://www.crtm.es/billetes-y-tarifas/tarjeta-transporte-publico/preguntas-frecuentes/#item23</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Billetes y abonos (Metro)</v>
      </c>
      <c r="C27" s="114" t="str" cm="1">
        <f t="array" ref="C27">IFERROR(INDEX('03.Muestra'!$F$8:$F$42,SMALL(IF("Página Web"='03.Muestra'!$D$8:$D$42,ROW('03.Muestra'!$F$8:$F$42)-MIN(ROW('03.Muestra'!$D$8:$D$42))+1,""),ROW()-18)),"")</f>
        <v>https://www.crtm.es/billetes-y-tarifas/billetes-y-abonos/metro/?idPestana=1&amp;lang=#item10</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Billetes y tarifas (App)</v>
      </c>
      <c r="C28" s="114" t="str" cm="1">
        <f t="array" ref="C28">IFERROR(INDEX('03.Muestra'!$F$8:$F$42,SMALL(IF("Página Web"='03.Muestra'!$D$8:$D$42,ROW('03.Muestra'!$F$8:$F$42)-MIN(ROW('03.Muestra'!$D$8:$D$42))+1,""),ROW()-18)),"")</f>
        <v>https://www.crtm.es/billetes-y-tarifas/apps/</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Atención al cliente</v>
      </c>
      <c r="C29" s="114" t="str" cm="1">
        <f t="array" ref="C29">IFERROR(INDEX('03.Muestra'!$F$8:$F$42,SMALL(IF("Página Web"='03.Muestra'!$D$8:$D$42,ROW('03.Muestra'!$F$8:$F$42)-MIN(ROW('03.Muestra'!$D$8:$D$42))+1,""),ROW()-18)),"")</f>
        <v>https://www.crtm.es/atencion-al-cliente/</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Conócenos</v>
      </c>
      <c r="C30" s="114" t="str" cm="1">
        <f t="array" ref="C30">IFERROR(INDEX('03.Muestra'!$F$8:$F$42,SMALL(IF("Página Web"='03.Muestra'!$D$8:$D$42,ROW('03.Muestra'!$F$8:$F$42)-MIN(ROW('03.Muestra'!$D$8:$D$42))+1,""),ROW()-18)),"")</f>
        <v>https://www.crtm.es/conocenos/#CentrodeDocumentacion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Actualidad del servicio</v>
      </c>
      <c r="C31" s="114" t="str" cm="1">
        <f t="array" ref="C31">IFERROR(INDEX('03.Muestra'!$F$8:$F$42,SMALL(IF("Página Web"='03.Muestra'!$D$8:$D$42,ROW('03.Muestra'!$F$8:$F$42)-MIN(ROW('03.Muestra'!$D$8:$D$42))+1,""),ROW()-18)),"")</f>
        <v>https://www.crtm.es/comunicacion/actualidad-del-servicio/?idPestana=1&amp;lang=es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Galería de fotos</v>
      </c>
      <c r="C32" s="114" t="str" cm="1">
        <f t="array" ref="C32">IFERROR(INDEX('03.Muestra'!$F$8:$F$42,SMALL(IF("Página Web"='03.Muestra'!$D$8:$D$42,ROW('03.Muestra'!$F$8:$F$42)-MIN(ROW('03.Muestra'!$D$8:$D$42))+1,""),ROW()-18)),"")</f>
        <v>https://www.crtm.es/comunicacion/multimedia/galeria-de-fotos/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https://www.crtm.es/mapa-web</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Protección de datos</v>
      </c>
      <c r="C34" s="114" t="str" cm="1">
        <f t="array" ref="C34">IFERROR(INDEX('03.Muestra'!$F$8:$F$42,SMALL(IF("Página Web"='03.Muestra'!$D$8:$D$42,ROW('03.Muestra'!$F$8:$F$42)-MIN(ROW('03.Muestra'!$D$8:$D$42))+1,""),ROW()-18)),"")</f>
        <v>https://www.crtm.es/proteccion-de-datos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Política de cookies</v>
      </c>
      <c r="C35" s="114" t="str" cm="1">
        <f t="array" ref="C35">IFERROR(INDEX('03.Muestra'!$F$8:$F$42,SMALL(IF("Página Web"='03.Muestra'!$D$8:$D$42,ROW('03.Muestra'!$F$8:$F$42)-MIN(ROW('03.Muestra'!$D$8:$D$42))+1,""),ROW()-18)),"")</f>
        <v>https://www.crtm.es/politica-de-cookies</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Aviso Legal</v>
      </c>
      <c r="C36" s="114" t="str" cm="1">
        <f t="array" ref="C36">IFERROR(INDEX('03.Muestra'!$F$8:$F$42,SMALL(IF("Página Web"='03.Muestra'!$D$8:$D$42,ROW('03.Muestra'!$F$8:$F$42)-MIN(ROW('03.Muestra'!$D$8:$D$42))+1,""),ROW()-18)),"")</f>
        <v>https://www.crtm.es/aviso-legal</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Normativa</v>
      </c>
      <c r="C37" s="114" t="str" cm="1">
        <f t="array" ref="C37">IFERROR(INDEX('03.Muestra'!$F$8:$F$42,SMALL(IF("Página Web"='03.Muestra'!$D$8:$D$42,ROW('03.Muestra'!$F$8:$F$42)-MIN(ROW('03.Muestra'!$D$8:$D$42))+1,""),ROW()-18)),"")</f>
        <v>https://www.crtm.es/normativa</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Accesibilidad</v>
      </c>
      <c r="C38" s="114" t="str" cm="1">
        <f t="array" ref="C38">IFERROR(INDEX('03.Muestra'!$F$8:$F$42,SMALL(IF("Página Web"='03.Muestra'!$D$8:$D$42,ROW('03.Muestra'!$F$8:$F$42)-MIN(ROW('03.Muestra'!$D$8:$D$42))+1,""),ROW()-18)),"")</f>
        <v>https://www.crtm.es/accesibilidad</v>
      </c>
      <c r="D38" s="130" t="s">
        <v>25</v>
      </c>
      <c r="E38" s="107" t="str">
        <f t="shared" si="0"/>
        <v/>
      </c>
      <c r="F38" s="19"/>
      <c r="G38" s="19"/>
      <c r="H38" s="19"/>
      <c r="I38" s="19"/>
      <c r="J38" s="19"/>
      <c r="K38" s="19"/>
      <c r="L38" s="19"/>
      <c r="Q38" s="19"/>
      <c r="W38" s="19"/>
      <c r="X38" s="19"/>
      <c r="Y38" s="19"/>
    </row>
    <row r="39" spans="1:25" ht="12" customHeight="1">
      <c r="A39" s="219" cm="1">
        <f t="array" ref="A39">IFERROR(INDEX('03.Muestra'!$B$8:$B$42,SMALL(IF("Página Web"='03.Muestra'!$D$8:$D$42,ROW('03.Muestra'!$B$8:$B$42)-MIN(ROW('03.Muestra'!$D$8:$D$42))+1,""),ROW()-18)),"")</f>
        <v>21</v>
      </c>
      <c r="B39" s="114" t="str" cm="1">
        <f t="array" ref="B39">IFERROR(INDEX('03.Muestra'!$C$8:$C$42,SMALL(IF("Página Web"='03.Muestra'!$D$8:$D$42,ROW('03.Muestra'!$C$8:$C$42)-MIN(ROW('03.Muestra'!$D$8:$D$42))+1,""),ROW()-18)),"")</f>
        <v>Modo accesible</v>
      </c>
      <c r="C39" s="114" t="str" cm="1">
        <f t="array" ref="C39">IFERROR(INDEX('03.Muestra'!$F$8:$F$42,SMALL(IF("Página Web"='03.Muestra'!$D$8:$D$42,ROW('03.Muestra'!$F$8:$F$42)-MIN(ROW('03.Muestra'!$D$8:$D$42))+1,""),ROW()-18)),"")</f>
        <v>https://www.crtm.es/</v>
      </c>
      <c r="D39" s="130" t="s">
        <v>34</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Red de metro</v>
      </c>
      <c r="C58" s="114"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Líneas de metro</v>
      </c>
      <c r="C59" s="114"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Estaciones Aeropuerto T1-T2-T3</v>
      </c>
      <c r="C60" s="114"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Muévete por Madrid</v>
      </c>
      <c r="C61" s="114" t="str" cm="1">
        <f t="array" ref="C61">IFERROR(INDEX('03.Muestra'!$F$8:$F$42,SMALL(IF("Página Web"='03.Muestra'!$D$8:$D$42,ROW('03.Muestra'!$F$8:$F$42)-MIN(ROW('03.Muestra'!$D$8:$D$42))+1,""),ROW()-56)),"")</f>
        <v>https://www.crtm.es/muevete-por-madrid/</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conexiones con aeropuerto y principales estaciones</v>
      </c>
      <c r="C62" s="114"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desplazados Ucranianos</v>
      </c>
      <c r="C63" s="114"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Preguntas frecuentes (Tarjeta transporte público personal)</v>
      </c>
      <c r="C64" s="114"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Billetes y abonos (Metro)</v>
      </c>
      <c r="C65" s="114"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Billetes y tarifas (App)</v>
      </c>
      <c r="C66" s="114"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Atención al cliente</v>
      </c>
      <c r="C67" s="114"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Conócenos</v>
      </c>
      <c r="C68" s="114"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Actualidad del servicio</v>
      </c>
      <c r="C69" s="114"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Galería de fotos</v>
      </c>
      <c r="C70" s="114"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https://www.crtm.es/mapa-web</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Protección de datos</v>
      </c>
      <c r="C72" s="114"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Política de cookies</v>
      </c>
      <c r="C73" s="114"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Aviso Legal</v>
      </c>
      <c r="C74" s="114" t="str" cm="1">
        <f t="array" ref="C74">IFERROR(INDEX('03.Muestra'!$F$8:$F$42,SMALL(IF("Página Web"='03.Muestra'!$D$8:$D$42,ROW('03.Muestra'!$F$8:$F$42)-MIN(ROW('03.Muestra'!$D$8:$D$42))+1,""),ROW()-56)),"")</f>
        <v>https://www.crtm.es/aviso-legal</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Normativa</v>
      </c>
      <c r="C75" s="114" t="str" cm="1">
        <f t="array" ref="C75">IFERROR(INDEX('03.Muestra'!$F$8:$F$42,SMALL(IF("Página Web"='03.Muestra'!$D$8:$D$42,ROW('03.Muestra'!$F$8:$F$42)-MIN(ROW('03.Muestra'!$D$8:$D$42))+1,""),ROW()-56)),"")</f>
        <v>https://www.crtm.es/normativa</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Accesibilidad</v>
      </c>
      <c r="C76" s="114" t="str" cm="1">
        <f t="array" ref="C76">IFERROR(INDEX('03.Muestra'!$F$8:$F$42,SMALL(IF("Página Web"='03.Muestra'!$D$8:$D$42,ROW('03.Muestra'!$F$8:$F$42)-MIN(ROW('03.Muestra'!$D$8:$D$42))+1,""),ROW()-56)),"")</f>
        <v>https://www.crtm.es/accesibilidad</v>
      </c>
      <c r="D76" s="130" t="s">
        <v>27</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cm="1">
        <f t="array" ref="A77">IFERROR(INDEX('03.Muestra'!$B$8:$B$42,SMALL(IF("Página Web"='03.Muestra'!$D$8:$D$42,ROW('03.Muestra'!$B$8:$B$42)-MIN(ROW('03.Muestra'!$D$8:$D$42))+1,""),ROW()-56)),"")</f>
        <v>21</v>
      </c>
      <c r="B77" s="114" t="str" cm="1">
        <f t="array" ref="B77">IFERROR(INDEX('03.Muestra'!$C$8:$C$42,SMALL(IF("Página Web"='03.Muestra'!$D$8:$D$42,ROW('03.Muestra'!$C$8:$C$42)-MIN(ROW('03.Muestra'!$D$8:$D$42))+1,""),ROW()-56)),"")</f>
        <v>Modo accesible</v>
      </c>
      <c r="C77" s="114" t="str" cm="1">
        <f t="array" ref="C77">IFERROR(INDEX('03.Muestra'!$F$8:$F$42,SMALL(IF("Página Web"='03.Muestra'!$D$8:$D$42,ROW('03.Muestra'!$F$8:$F$42)-MIN(ROW('03.Muestra'!$D$8:$D$42))+1,""),ROW()-56)),"")</f>
        <v>https://www.crtm.es/</v>
      </c>
      <c r="D77" s="130" t="s">
        <v>34</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Red de metro</v>
      </c>
      <c r="C96" s="114"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Líneas de metro</v>
      </c>
      <c r="C97" s="114"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Estaciones Aeropuerto T1-T2-T3</v>
      </c>
      <c r="C98" s="114"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Muévete por Madrid</v>
      </c>
      <c r="C99" s="114" t="str" cm="1">
        <f t="array" ref="C99">IFERROR(INDEX('03.Muestra'!$F$8:$F$42,SMALL(IF("Página Web"='03.Muestra'!$D$8:$D$42,ROW('03.Muestra'!$F$8:$F$42)-MIN(ROW('03.Muestra'!$D$8:$D$42))+1,""),ROW()-94)),"")</f>
        <v>https://www.crtm.es/muevete-por-madrid/</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conexiones con aeropuerto y principales estaciones</v>
      </c>
      <c r="C100" s="114"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desplazados Ucranianos</v>
      </c>
      <c r="C101" s="114"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Preguntas frecuentes (Tarjeta transporte público personal)</v>
      </c>
      <c r="C102" s="114"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Billetes y abonos (Metro)</v>
      </c>
      <c r="C103" s="114"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Billetes y tarifas (App)</v>
      </c>
      <c r="C104" s="114"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Atención al cliente</v>
      </c>
      <c r="C105" s="114"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Conócenos</v>
      </c>
      <c r="C106" s="114"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Actualidad del servicio</v>
      </c>
      <c r="C107" s="114"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Galería de fotos</v>
      </c>
      <c r="C108" s="114"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Protección de datos</v>
      </c>
      <c r="C110" s="114"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Política de cookies</v>
      </c>
      <c r="C111" s="114"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Aviso Legal</v>
      </c>
      <c r="C112" s="114"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Normativa</v>
      </c>
      <c r="C113" s="114"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Accesibilidad</v>
      </c>
      <c r="C114" s="114" t="str" cm="1">
        <f t="array" ref="C114">IFERROR(INDEX('03.Muestra'!$F$8:$F$42,SMALL(IF("Página Web"='03.Muestra'!$D$8:$D$42,ROW('03.Muestra'!$F$8:$F$42)-MIN(ROW('03.Muestra'!$D$8:$D$42))+1,""),ROW()-94)),"")</f>
        <v>https://www.crtm.es/accesibilidad</v>
      </c>
      <c r="D114" s="130" t="s">
        <v>25</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cm="1">
        <f t="array" ref="A115">IFERROR(INDEX('03.Muestra'!$B$8:$B$42,SMALL(IF("Página Web"='03.Muestra'!$D$8:$D$42,ROW('03.Muestra'!$B$8:$B$42)-MIN(ROW('03.Muestra'!$D$8:$D$42))+1,""),ROW()-94)),"")</f>
        <v>21</v>
      </c>
      <c r="B115" s="114" t="str" cm="1">
        <f t="array" ref="B115">IFERROR(INDEX('03.Muestra'!$C$8:$C$42,SMALL(IF("Página Web"='03.Muestra'!$D$8:$D$42,ROW('03.Muestra'!$C$8:$C$42)-MIN(ROW('03.Muestra'!$D$8:$D$42))+1,""),ROW()-94)),"")</f>
        <v>Modo accesible</v>
      </c>
      <c r="C115" s="114" t="str" cm="1">
        <f t="array" ref="C115">IFERROR(INDEX('03.Muestra'!$F$8:$F$42,SMALL(IF("Página Web"='03.Muestra'!$D$8:$D$42,ROW('03.Muestra'!$F$8:$F$42)-MIN(ROW('03.Muestra'!$D$8:$D$42))+1,""),ROW()-94)),"")</f>
        <v>https://www.crtm.es/</v>
      </c>
      <c r="D115" s="130" t="s">
        <v>34</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https://www.crtm.es/</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Red de metro</v>
      </c>
      <c r="C134" s="114" t="str" cm="1">
        <f t="array" ref="C134">IFERROR(INDEX('03.Muestra'!$F$8:$F$42,SMALL(IF("Página Web"='03.Muestra'!$D$8:$D$42,ROW('03.Muestra'!$F$8:$F$42)-MIN(ROW('03.Muestra'!$D$8:$D$42))+1,""),ROW()-132)),"")</f>
        <v>https://www.crtm.es/tu-transporte-publico/metro/</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Líneas de metro</v>
      </c>
      <c r="C135" s="114" t="str" cm="1">
        <f t="array" ref="C135">IFERROR(INDEX('03.Muestra'!$F$8:$F$42,SMALL(IF("Página Web"='03.Muestra'!$D$8:$D$42,ROW('03.Muestra'!$F$8:$F$42)-MIN(ROW('03.Muestra'!$D$8:$D$42))+1,""),ROW()-132)),"")</f>
        <v>https://www.crtm.es/tu-transporte-publico/metro/lineas/4__1___</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Estaciones Aeropuerto T1-T2-T3</v>
      </c>
      <c r="C136" s="114" t="str" cm="1">
        <f t="array" ref="C136">IFERROR(INDEX('03.Muestra'!$F$8:$F$42,SMALL(IF("Página Web"='03.Muestra'!$D$8:$D$42,ROW('03.Muestra'!$F$8:$F$42)-MIN(ROW('03.Muestra'!$D$8:$D$42))+1,""),ROW()-132)),"")</f>
        <v>https://www.crtm.es/tu-transporte-publico/metro/estaciones/4_159</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Muévete por Madrid</v>
      </c>
      <c r="C137" s="114" t="str" cm="1">
        <f t="array" ref="C137">IFERROR(INDEX('03.Muestra'!$F$8:$F$42,SMALL(IF("Página Web"='03.Muestra'!$D$8:$D$42,ROW('03.Muestra'!$F$8:$F$42)-MIN(ROW('03.Muestra'!$D$8:$D$42))+1,""),ROW()-132)),"")</f>
        <v>https://www.crtm.es/muevete-por-madrid/</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conexiones con aeropuerto y principales estaciones</v>
      </c>
      <c r="C138" s="114" t="str" cm="1">
        <f t="array" ref="C138">IFERROR(INDEX('03.Muestra'!$F$8:$F$42,SMALL(IF("Página Web"='03.Muestra'!$D$8:$D$42,ROW('03.Muestra'!$F$8:$F$42)-MIN(ROW('03.Muestra'!$D$8:$D$42))+1,""),ROW()-132)),"")</f>
        <v xml:space="preserve">https://www.crtm.es/muevete-por-madrid/conexiones-con-aeropuerto-y-principales-estaciones/ </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desplazados Ucranianos</v>
      </c>
      <c r="C139" s="114" t="str" cm="1">
        <f t="array" ref="C139">IFERROR(INDEX('03.Muestra'!$F$8:$F$42,SMALL(IF("Página Web"='03.Muestra'!$D$8:$D$42,ROW('03.Muestra'!$F$8:$F$42)-MIN(ROW('03.Muestra'!$D$8:$D$42))+1,""),ROW()-132)),"")</f>
        <v>https://www.crtm.es/atencion-desplazados-ucranianos/#item3</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Preguntas frecuentes (Tarjeta transporte público personal)</v>
      </c>
      <c r="C140" s="114" t="str" cm="1">
        <f t="array" ref="C140">IFERROR(INDEX('03.Muestra'!$F$8:$F$42,SMALL(IF("Página Web"='03.Muestra'!$D$8:$D$42,ROW('03.Muestra'!$F$8:$F$42)-MIN(ROW('03.Muestra'!$D$8:$D$42))+1,""),ROW()-132)),"")</f>
        <v xml:space="preserve"> https://www.crtm.es/billetes-y-tarifas/tarjeta-transporte-publico/preguntas-frecuentes/#item23</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Billetes y abonos (Metro)</v>
      </c>
      <c r="C141" s="114" t="str" cm="1">
        <f t="array" ref="C141">IFERROR(INDEX('03.Muestra'!$F$8:$F$42,SMALL(IF("Página Web"='03.Muestra'!$D$8:$D$42,ROW('03.Muestra'!$F$8:$F$42)-MIN(ROW('03.Muestra'!$D$8:$D$42))+1,""),ROW()-132)),"")</f>
        <v>https://www.crtm.es/billetes-y-tarifas/billetes-y-abonos/metro/?idPestana=1&amp;lang=#item10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Billetes y tarifas (App)</v>
      </c>
      <c r="C142" s="114" t="str" cm="1">
        <f t="array" ref="C142">IFERROR(INDEX('03.Muestra'!$F$8:$F$42,SMALL(IF("Página Web"='03.Muestra'!$D$8:$D$42,ROW('03.Muestra'!$F$8:$F$42)-MIN(ROW('03.Muestra'!$D$8:$D$42))+1,""),ROW()-132)),"")</f>
        <v>https://www.crtm.es/billetes-y-tarifas/apps/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Atención al cliente</v>
      </c>
      <c r="C143" s="114" t="str" cm="1">
        <f t="array" ref="C143">IFERROR(INDEX('03.Muestra'!$F$8:$F$42,SMALL(IF("Página Web"='03.Muestra'!$D$8:$D$42,ROW('03.Muestra'!$F$8:$F$42)-MIN(ROW('03.Muestra'!$D$8:$D$42))+1,""),ROW()-132)),"")</f>
        <v>https://www.crtm.es/atencion-al-cliente/</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Conócenos</v>
      </c>
      <c r="C144" s="114" t="str" cm="1">
        <f t="array" ref="C144">IFERROR(INDEX('03.Muestra'!$F$8:$F$42,SMALL(IF("Página Web"='03.Muestra'!$D$8:$D$42,ROW('03.Muestra'!$F$8:$F$42)-MIN(ROW('03.Muestra'!$D$8:$D$42))+1,""),ROW()-132)),"")</f>
        <v>https://www.crtm.es/conocenos/#CentrodeDocumentacion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Actualidad del servicio</v>
      </c>
      <c r="C145" s="114" t="str" cm="1">
        <f t="array" ref="C145">IFERROR(INDEX('03.Muestra'!$F$8:$F$42,SMALL(IF("Página Web"='03.Muestra'!$D$8:$D$42,ROW('03.Muestra'!$F$8:$F$42)-MIN(ROW('03.Muestra'!$D$8:$D$42))+1,""),ROW()-132)),"")</f>
        <v>https://www.crtm.es/comunicacion/actualidad-del-servicio/?idPestana=1&amp;lang=es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Galería de fotos</v>
      </c>
      <c r="C146" s="114" t="str" cm="1">
        <f t="array" ref="C146">IFERROR(INDEX('03.Muestra'!$F$8:$F$42,SMALL(IF("Página Web"='03.Muestra'!$D$8:$D$42,ROW('03.Muestra'!$F$8:$F$42)-MIN(ROW('03.Muestra'!$D$8:$D$42))+1,""),ROW()-132)),"")</f>
        <v>https://www.crtm.es/comunicacion/multimedia/galeria-de-fotos/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https://www.crtm.es/mapa-web</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Protección de datos</v>
      </c>
      <c r="C148" s="114" t="str" cm="1">
        <f t="array" ref="C148">IFERROR(INDEX('03.Muestra'!$F$8:$F$42,SMALL(IF("Página Web"='03.Muestra'!$D$8:$D$42,ROW('03.Muestra'!$F$8:$F$42)-MIN(ROW('03.Muestra'!$D$8:$D$42))+1,""),ROW()-132)),"")</f>
        <v>https://www.crtm.es/proteccion-de-datos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Política de cookies</v>
      </c>
      <c r="C149" s="114" t="str" cm="1">
        <f t="array" ref="C149">IFERROR(INDEX('03.Muestra'!$F$8:$F$42,SMALL(IF("Página Web"='03.Muestra'!$D$8:$D$42,ROW('03.Muestra'!$F$8:$F$42)-MIN(ROW('03.Muestra'!$D$8:$D$42))+1,""),ROW()-132)),"")</f>
        <v>https://www.crtm.es/politica-de-cookies</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Aviso Legal</v>
      </c>
      <c r="C150" s="114" t="str" cm="1">
        <f t="array" ref="C150">IFERROR(INDEX('03.Muestra'!$F$8:$F$42,SMALL(IF("Página Web"='03.Muestra'!$D$8:$D$42,ROW('03.Muestra'!$F$8:$F$42)-MIN(ROW('03.Muestra'!$D$8:$D$42))+1,""),ROW()-132)),"")</f>
        <v>https://www.crtm.es/aviso-legal</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Normativa</v>
      </c>
      <c r="C151" s="114" t="str" cm="1">
        <f t="array" ref="C151">IFERROR(INDEX('03.Muestra'!$F$8:$F$42,SMALL(IF("Página Web"='03.Muestra'!$D$8:$D$42,ROW('03.Muestra'!$F$8:$F$42)-MIN(ROW('03.Muestra'!$D$8:$D$42))+1,""),ROW()-132)),"")</f>
        <v>https://www.crtm.es/normativa</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Accesibilidad</v>
      </c>
      <c r="C152" s="114" t="str" cm="1">
        <f t="array" ref="C152">IFERROR(INDEX('03.Muestra'!$F$8:$F$42,SMALL(IF("Página Web"='03.Muestra'!$D$8:$D$42,ROW('03.Muestra'!$F$8:$F$42)-MIN(ROW('03.Muestra'!$D$8:$D$42))+1,""),ROW()-132)),"")</f>
        <v>https://www.crtm.es/accesibilidad</v>
      </c>
      <c r="D152" s="130" t="s">
        <v>25</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cm="1">
        <f t="array" ref="A153">IFERROR(INDEX('03.Muestra'!$B$8:$B$42,SMALL(IF("Página Web"='03.Muestra'!$D$8:$D$42,ROW('03.Muestra'!$B$8:$B$42)-MIN(ROW('03.Muestra'!$D$8:$D$42))+1,""),ROW()-132)),"")</f>
        <v>21</v>
      </c>
      <c r="B153" s="114" t="str" cm="1">
        <f t="array" ref="B153">IFERROR(INDEX('03.Muestra'!$C$8:$C$42,SMALL(IF("Página Web"='03.Muestra'!$D$8:$D$42,ROW('03.Muestra'!$C$8:$C$42)-MIN(ROW('03.Muestra'!$D$8:$D$42))+1,""),ROW()-132)),"")</f>
        <v>Modo accesible</v>
      </c>
      <c r="C153" s="114" t="str" cm="1">
        <f t="array" ref="C153">IFERROR(INDEX('03.Muestra'!$F$8:$F$42,SMALL(IF("Página Web"='03.Muestra'!$D$8:$D$42,ROW('03.Muestra'!$F$8:$F$42)-MIN(ROW('03.Muestra'!$D$8:$D$42))+1,""),ROW()-132)),"")</f>
        <v>https://www.crtm.es/</v>
      </c>
      <c r="D153" s="130" t="s">
        <v>34</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ref="D154:D167" si="7">IF(AND(B154&lt;&gt;"",C154&lt;&gt;""),"N/T","")</f>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https://www.crtm.es/</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Red de metro</v>
      </c>
      <c r="C172" s="114" t="str" cm="1">
        <f t="array" ref="C172">IFERROR(INDEX('03.Muestra'!$F$8:$F$42,SMALL(IF("Página Web"='03.Muestra'!$D$8:$D$42,ROW('03.Muestra'!$F$8:$F$42)-MIN(ROW('03.Muestra'!$D$8:$D$42))+1,""),ROW()-170)),"")</f>
        <v>https://www.crtm.es/tu-transporte-publico/metro/</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Líneas de metro</v>
      </c>
      <c r="C173" s="114" t="str" cm="1">
        <f t="array" ref="C173">IFERROR(INDEX('03.Muestra'!$F$8:$F$42,SMALL(IF("Página Web"='03.Muestra'!$D$8:$D$42,ROW('03.Muestra'!$F$8:$F$42)-MIN(ROW('03.Muestra'!$D$8:$D$42))+1,""),ROW()-170)),"")</f>
        <v>https://www.crtm.es/tu-transporte-publico/metro/lineas/4__1___</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Estaciones Aeropuerto T1-T2-T3</v>
      </c>
      <c r="C174" s="114" t="str" cm="1">
        <f t="array" ref="C174">IFERROR(INDEX('03.Muestra'!$F$8:$F$42,SMALL(IF("Página Web"='03.Muestra'!$D$8:$D$42,ROW('03.Muestra'!$F$8:$F$42)-MIN(ROW('03.Muestra'!$D$8:$D$42))+1,""),ROW()-170)),"")</f>
        <v>https://www.crtm.es/tu-transporte-publico/metro/estaciones/4_159</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Muévete por Madrid</v>
      </c>
      <c r="C175" s="114" t="str" cm="1">
        <f t="array" ref="C175">IFERROR(INDEX('03.Muestra'!$F$8:$F$42,SMALL(IF("Página Web"='03.Muestra'!$D$8:$D$42,ROW('03.Muestra'!$F$8:$F$42)-MIN(ROW('03.Muestra'!$D$8:$D$42))+1,""),ROW()-170)),"")</f>
        <v>https://www.crtm.es/muevete-por-madrid/</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conexiones con aeropuerto y principales estaciones</v>
      </c>
      <c r="C176" s="114" t="str" cm="1">
        <f t="array" ref="C176">IFERROR(INDEX('03.Muestra'!$F$8:$F$42,SMALL(IF("Página Web"='03.Muestra'!$D$8:$D$42,ROW('03.Muestra'!$F$8:$F$42)-MIN(ROW('03.Muestra'!$D$8:$D$42))+1,""),ROW()-170)),"")</f>
        <v xml:space="preserve">https://www.crtm.es/muevete-por-madrid/conexiones-con-aeropuerto-y-principales-estaciones/ </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desplazados Ucranianos</v>
      </c>
      <c r="C177" s="114" t="str" cm="1">
        <f t="array" ref="C177">IFERROR(INDEX('03.Muestra'!$F$8:$F$42,SMALL(IF("Página Web"='03.Muestra'!$D$8:$D$42,ROW('03.Muestra'!$F$8:$F$42)-MIN(ROW('03.Muestra'!$D$8:$D$42))+1,""),ROW()-170)),"")</f>
        <v>https://www.crtm.es/atencion-desplazados-ucranianos/#item3</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Preguntas frecuentes (Tarjeta transporte público personal)</v>
      </c>
      <c r="C178" s="114" t="str" cm="1">
        <f t="array" ref="C178">IFERROR(INDEX('03.Muestra'!$F$8:$F$42,SMALL(IF("Página Web"='03.Muestra'!$D$8:$D$42,ROW('03.Muestra'!$F$8:$F$42)-MIN(ROW('03.Muestra'!$D$8:$D$42))+1,""),ROW()-170)),"")</f>
        <v xml:space="preserve"> https://www.crtm.es/billetes-y-tarifas/tarjeta-transporte-publico/preguntas-frecuentes/#item23</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Billetes y abonos (Metro)</v>
      </c>
      <c r="C179" s="114" t="str" cm="1">
        <f t="array" ref="C179">IFERROR(INDEX('03.Muestra'!$F$8:$F$42,SMALL(IF("Página Web"='03.Muestra'!$D$8:$D$42,ROW('03.Muestra'!$F$8:$F$42)-MIN(ROW('03.Muestra'!$D$8:$D$42))+1,""),ROW()-170)),"")</f>
        <v>https://www.crtm.es/billetes-y-tarifas/billetes-y-abonos/metro/?idPestana=1&amp;lang=#item10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Billetes y tarifas (App)</v>
      </c>
      <c r="C180" s="114" t="str" cm="1">
        <f t="array" ref="C180">IFERROR(INDEX('03.Muestra'!$F$8:$F$42,SMALL(IF("Página Web"='03.Muestra'!$D$8:$D$42,ROW('03.Muestra'!$F$8:$F$42)-MIN(ROW('03.Muestra'!$D$8:$D$42))+1,""),ROW()-170)),"")</f>
        <v>https://www.crtm.es/billetes-y-tarifas/apps/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Atención al cliente</v>
      </c>
      <c r="C181" s="114" t="str" cm="1">
        <f t="array" ref="C181">IFERROR(INDEX('03.Muestra'!$F$8:$F$42,SMALL(IF("Página Web"='03.Muestra'!$D$8:$D$42,ROW('03.Muestra'!$F$8:$F$42)-MIN(ROW('03.Muestra'!$D$8:$D$42))+1,""),ROW()-170)),"")</f>
        <v>https://www.crtm.es/atencion-al-cliente/</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Conócenos</v>
      </c>
      <c r="C182" s="114" t="str" cm="1">
        <f t="array" ref="C182">IFERROR(INDEX('03.Muestra'!$F$8:$F$42,SMALL(IF("Página Web"='03.Muestra'!$D$8:$D$42,ROW('03.Muestra'!$F$8:$F$42)-MIN(ROW('03.Muestra'!$D$8:$D$42))+1,""),ROW()-170)),"")</f>
        <v>https://www.crtm.es/conocenos/#CentrodeDocumentacion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Actualidad del servicio</v>
      </c>
      <c r="C183" s="114" t="str" cm="1">
        <f t="array" ref="C183">IFERROR(INDEX('03.Muestra'!$F$8:$F$42,SMALL(IF("Página Web"='03.Muestra'!$D$8:$D$42,ROW('03.Muestra'!$F$8:$F$42)-MIN(ROW('03.Muestra'!$D$8:$D$42))+1,""),ROW()-170)),"")</f>
        <v>https://www.crtm.es/comunicacion/actualidad-del-servicio/?idPestana=1&amp;lang=es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Galería de fotos</v>
      </c>
      <c r="C184" s="114" t="str" cm="1">
        <f t="array" ref="C184">IFERROR(INDEX('03.Muestra'!$F$8:$F$42,SMALL(IF("Página Web"='03.Muestra'!$D$8:$D$42,ROW('03.Muestra'!$F$8:$F$42)-MIN(ROW('03.Muestra'!$D$8:$D$42))+1,""),ROW()-170)),"")</f>
        <v>https://www.crtm.es/comunicacion/multimedia/galeria-de-fotos/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https://www.crtm.es/mapa-web</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Protección de datos</v>
      </c>
      <c r="C186" s="114" t="str" cm="1">
        <f t="array" ref="C186">IFERROR(INDEX('03.Muestra'!$F$8:$F$42,SMALL(IF("Página Web"='03.Muestra'!$D$8:$D$42,ROW('03.Muestra'!$F$8:$F$42)-MIN(ROW('03.Muestra'!$D$8:$D$42))+1,""),ROW()-170)),"")</f>
        <v>https://www.crtm.es/proteccion-de-datos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Política de cookies</v>
      </c>
      <c r="C187" s="114" t="str" cm="1">
        <f t="array" ref="C187">IFERROR(INDEX('03.Muestra'!$F$8:$F$42,SMALL(IF("Página Web"='03.Muestra'!$D$8:$D$42,ROW('03.Muestra'!$F$8:$F$42)-MIN(ROW('03.Muestra'!$D$8:$D$42))+1,""),ROW()-170)),"")</f>
        <v>https://www.crtm.es/politica-de-cookies</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Aviso Legal</v>
      </c>
      <c r="C188" s="114" t="str" cm="1">
        <f t="array" ref="C188">IFERROR(INDEX('03.Muestra'!$F$8:$F$42,SMALL(IF("Página Web"='03.Muestra'!$D$8:$D$42,ROW('03.Muestra'!$F$8:$F$42)-MIN(ROW('03.Muestra'!$D$8:$D$42))+1,""),ROW()-170)),"")</f>
        <v>https://www.crtm.es/aviso-legal</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Normativa</v>
      </c>
      <c r="C189" s="114" t="str" cm="1">
        <f t="array" ref="C189">IFERROR(INDEX('03.Muestra'!$F$8:$F$42,SMALL(IF("Página Web"='03.Muestra'!$D$8:$D$42,ROW('03.Muestra'!$F$8:$F$42)-MIN(ROW('03.Muestra'!$D$8:$D$42))+1,""),ROW()-170)),"")</f>
        <v>https://www.crtm.es/normativa</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Accesibilidad</v>
      </c>
      <c r="C190" s="114" t="str" cm="1">
        <f t="array" ref="C190">IFERROR(INDEX('03.Muestra'!$F$8:$F$42,SMALL(IF("Página Web"='03.Muestra'!$D$8:$D$42,ROW('03.Muestra'!$F$8:$F$42)-MIN(ROW('03.Muestra'!$D$8:$D$42))+1,""),ROW()-170)),"")</f>
        <v>https://www.crtm.es/accesibilidad</v>
      </c>
      <c r="D190" s="130" t="s">
        <v>27</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cm="1">
        <f t="array" ref="A191">IFERROR(INDEX('03.Muestra'!$B$8:$B$42,SMALL(IF("Página Web"='03.Muestra'!$D$8:$D$42,ROW('03.Muestra'!$B$8:$B$42)-MIN(ROW('03.Muestra'!$D$8:$D$42))+1,""),ROW()-170)),"")</f>
        <v>21</v>
      </c>
      <c r="B191" s="114" t="str" cm="1">
        <f t="array" ref="B191">IFERROR(INDEX('03.Muestra'!$C$8:$C$42,SMALL(IF("Página Web"='03.Muestra'!$D$8:$D$42,ROW('03.Muestra'!$C$8:$C$42)-MIN(ROW('03.Muestra'!$D$8:$D$42))+1,""),ROW()-170)),"")</f>
        <v>Modo accesible</v>
      </c>
      <c r="C191" s="114" t="str" cm="1">
        <f t="array" ref="C191">IFERROR(INDEX('03.Muestra'!$F$8:$F$42,SMALL(IF("Página Web"='03.Muestra'!$D$8:$D$42,ROW('03.Muestra'!$F$8:$F$42)-MIN(ROW('03.Muestra'!$D$8:$D$42))+1,""),ROW()-170)),"")</f>
        <v>https://www.crtm.es/</v>
      </c>
      <c r="D191" s="130" t="s">
        <v>34</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ref="D192:D205" si="9">IF(AND(B192&lt;&gt;"",C192&lt;&gt;""),"N/T","")</f>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opLeftCell="A12" zoomScale="80" zoomScaleNormal="80" workbookViewId="0">
      <selection activeCell="E15" sqref="E15"/>
    </sheetView>
  </sheetViews>
  <sheetFormatPr baseColWidth="10" defaultColWidth="11.54296875" defaultRowHeight="12.5"/>
  <cols>
    <col min="1" max="1" width="3.08984375" style="14" customWidth="1"/>
    <col min="2" max="2" width="9.08984375" style="113" customWidth="1"/>
    <col min="3" max="3" width="18.54296875" style="102" customWidth="1"/>
    <col min="4" max="4" width="59.36328125" style="14" customWidth="1"/>
    <col min="5" max="29" width="16.453125" style="14" customWidth="1"/>
    <col min="30" max="106" width="19.54296875" style="14" customWidth="1"/>
    <col min="107" max="16384" width="11.5429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5"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5"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5"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5" customHeight="1" thickBot="1">
      <c r="B6" s="178"/>
      <c r="C6" s="67"/>
      <c r="D6" s="67"/>
      <c r="E6" s="67"/>
      <c r="F6" s="67"/>
      <c r="G6" s="67"/>
      <c r="H6" s="67"/>
      <c r="I6" s="67"/>
      <c r="J6" s="67"/>
      <c r="K6" s="275" t="s">
        <v>39</v>
      </c>
      <c r="L6" s="275"/>
      <c r="M6" s="275"/>
      <c r="N6" s="67"/>
      <c r="O6" s="275" t="s">
        <v>40</v>
      </c>
      <c r="P6" s="275"/>
      <c r="Q6" s="275"/>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5" customHeight="1">
      <c r="C7" s="276" t="s">
        <v>151</v>
      </c>
      <c r="D7" s="277"/>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5" customHeight="1">
      <c r="C8" s="278" t="s">
        <v>360</v>
      </c>
      <c r="D8" s="279"/>
      <c r="E8" s="46" t="str">
        <f ca="1">CONCATENATE(COUNTIF(E55:CR55,"CONFORME")," (",ROUND(COUNTIF(E55:CR55,"CONFORME")*100/COUNTA($E$19:CR$19),2)," %)")</f>
        <v>19 (20,65 %)</v>
      </c>
      <c r="F8" s="140" t="str">
        <f ca="1">CONCATENATE(COUNTIF(E55:CR55,"NO CONFORME")," (",ROUND(COUNTIF(E55:CR55,"NO CONFORME")*100/COUNTA($E$19:CR$19),2)," %)")</f>
        <v>23 (25 %)</v>
      </c>
      <c r="G8" s="47" t="str">
        <f ca="1">CONCATENATE(COUNTIF(E55:CR55,"N/A")," (",ROUND(COUNTIF(E55:CR55,"N/A")*100/COUNTA($E$19:CR$19),2)," %)")</f>
        <v>50 (54,35 %)</v>
      </c>
      <c r="H8" s="47">
        <f ca="1">COUNTIF(E55:CR55,"ERROR")</f>
        <v>0</v>
      </c>
      <c r="I8" s="48">
        <f ca="1">COUNTIF(E55:CR55,"EN CURSO")</f>
        <v>0</v>
      </c>
      <c r="J8" s="236">
        <f ca="1">SUM(VALUE(LEFT(E8,SEARCH(" ",E8)-1)),VALUE(LEFT(F8,SEARCH(" ",F8)-1)))</f>
        <v>42</v>
      </c>
      <c r="K8" s="52" t="s">
        <v>46</v>
      </c>
      <c r="L8" s="46">
        <f ca="1">COUNTIF( $E$20:INDIRECT("$CR$" &amp;  SUM(19,COUNTIFS(B20:B54,"&lt;&gt;"))),"Pasa")+ COUNTIF($E$61:INDIRECT("$AW$" &amp;  SUM(60,COUNTIFS(B61:B95,"&lt;&gt;"))),"Pasa")</f>
        <v>383</v>
      </c>
      <c r="M8" s="53">
        <f ca="1">IF(($L$11+$P$11)=0,0,L8/($L$11+$P$11))</f>
        <v>0.19824016563146998</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5" customHeight="1">
      <c r="B9" s="240"/>
      <c r="C9" s="284" t="s">
        <v>153</v>
      </c>
      <c r="D9" s="285"/>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316</v>
      </c>
      <c r="M9" s="53">
        <f ca="1">IF(($L$11+$P$11)=0,0,L9/($L$11+$P$11))</f>
        <v>0.16356107660455488</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5" customHeight="1" thickBot="1">
      <c r="C10" s="289" t="s">
        <v>339</v>
      </c>
      <c r="D10" s="290"/>
      <c r="E10" s="241" t="str">
        <f ca="1">CONCATENATE(ROUND(E11/137*100,2)," %")</f>
        <v>13,87 %</v>
      </c>
      <c r="F10" s="241" t="str">
        <f ca="1">CONCATENATE(ROUND(F11/137*100,2)," %")</f>
        <v>16,79 %</v>
      </c>
      <c r="G10" s="241" t="str">
        <f ca="1">CONCATENATE(ROUND(G11/137*100,2)," %")</f>
        <v>69,34 %</v>
      </c>
      <c r="H10" s="241" t="str">
        <f ca="1">CONCATENATE(ROUND(H11/137*100,2)," %")</f>
        <v>0 %</v>
      </c>
      <c r="I10" s="243" t="str">
        <f ca="1">CONCATENATE(ROUND(I11/137*100,2)," %")</f>
        <v>0 %</v>
      </c>
      <c r="J10" s="244"/>
      <c r="K10" s="52" t="s">
        <v>30</v>
      </c>
      <c r="L10" s="46">
        <f ca="1">COUNTIF( $E$20:INDIRECT("$CR$" &amp;  SUM(19,COUNTIFS(B20:B54,"&lt;&gt;"))),"N/A")+COUNTIF($E$61:INDIRECT("$AW$" &amp;  SUM(60,COUNTIFS(B61:B95,"&lt;&gt;"))),"N/A")</f>
        <v>1233</v>
      </c>
      <c r="M10" s="53">
        <f ca="1">IF(($L$11+$P$11)=0,0,L10/($L$11+$P$11))</f>
        <v>0.63819875776397517</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5" customHeight="1" thickBot="1">
      <c r="C11" s="283"/>
      <c r="D11" s="283"/>
      <c r="E11" s="242">
        <f ca="1">SUM(VALUE(LEFT(E8,SEARCH(" ",E8)-1)),VALUE(LEFT(E9,SEARCH(" ",E9)-1)))</f>
        <v>19</v>
      </c>
      <c r="F11" s="242">
        <f ca="1">SUM(VALUE(LEFT(F8,SEARCH(" ",F8)-1)),VALUE(LEFT(F9,SEARCH(" ",F9)-1)))</f>
        <v>23</v>
      </c>
      <c r="G11" s="242">
        <f ca="1">SUM(VALUE(LEFT(G8,SEARCH(" ",G8)-1)),VALUE(LEFT(G9,SEARCH(" ",G9)-1)))</f>
        <v>95</v>
      </c>
      <c r="H11" s="242">
        <f ca="1">SUM(H8:H9)</f>
        <v>0</v>
      </c>
      <c r="I11" s="242">
        <f ca="1">SUM(I8:I9)</f>
        <v>0</v>
      </c>
      <c r="K11" s="54" t="s">
        <v>47</v>
      </c>
      <c r="L11" s="49">
        <f ca="1">SUM(L8:L10)</f>
        <v>1932</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5"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5" customHeight="1" thickTop="1">
      <c r="B13" s="180"/>
      <c r="C13" s="180"/>
      <c r="D13" s="182" t="s">
        <v>48</v>
      </c>
      <c r="E13" s="91"/>
      <c r="F13" s="286" t="s">
        <v>338</v>
      </c>
      <c r="G13" s="287"/>
      <c r="H13" s="287"/>
      <c r="I13" s="288"/>
      <c r="J13" s="91"/>
      <c r="K13" s="286" t="s">
        <v>272</v>
      </c>
      <c r="L13" s="288"/>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5" customHeight="1" thickBot="1">
      <c r="B14" s="180"/>
      <c r="C14" s="91"/>
      <c r="D14" s="209" t="str">
        <f ca="1">IF(COUNTIF('03.Muestra'!D8:D42,"Página Web")=0,"",IF(H11&gt;0,"Evaluación con errores",IF(OR(I11&gt;0,P11&gt;0),"Evaluación en curso",IF(F11=0,"Plenamente Conforme",IF(F11&gt;=(E11+F11)*'DATA - Oculta'!$C$26,"No Conforme","Parcialmente Conforme")))))</f>
        <v>No Conforme</v>
      </c>
      <c r="E14" s="29"/>
      <c r="F14" s="280">
        <f ca="1">IF(AND(D14&lt;&gt;"Evaluación en curso",D14&lt;&gt;"Evaluación con errores",D14&lt;&gt;""), IF(J8=0,"", ROUND(((COUNT(B20:B54)/(COUNT(B20:B54)+COUNT(B61:B95)))*IF(J8=0,0,LEFT(E8,SEARCH(" ",E8)-1)/J8)+(COUNT(B61:B95)/(COUNT(B20:B54)+COUNT(B61:B95)))*IF(J9=0,0,LEFT(E9,SEARCH(" ",E9)-1)/J9))*10,2)),"")</f>
        <v>4.5199999999999996</v>
      </c>
      <c r="G14" s="281"/>
      <c r="H14" s="281"/>
      <c r="I14" s="282"/>
      <c r="J14" s="91"/>
      <c r="K14" s="280" t="str">
        <f>'03.Muestra'!D52</f>
        <v>SI</v>
      </c>
      <c r="L14" s="282"/>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71" t="s">
        <v>360</v>
      </c>
      <c r="C17" s="272"/>
      <c r="D17" s="273"/>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8" t="s">
        <v>49</v>
      </c>
      <c r="C18" s="269"/>
      <c r="D18" s="270"/>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https://www.crtm.es/</v>
      </c>
      <c r="E20" s="215" t="str" cm="1">
        <f t="array" aca="1" ref="E20" ca="1">IF($B20="","",IF(ISBLANK(INDIRECT("R5.Genéricos!D"&amp;SUM(18,38*0,1))),"",INDIRECT("R5.Genéricos!D"&amp;SUM(18,38*0,1))))</f>
        <v>Pasa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Falla</v>
      </c>
      <c r="AQ20" s="215" t="str" cm="1">
        <f t="array" aca="1" ref="AQ20" ca="1">IF($B20="","",IF(ISBLANK(INDIRECT("R9.Web!D"&amp;SUM(18,38*7,1))),"",INDIRECT("R9.Web!D"&amp;SUM(18,38*7,1))))</f>
        <v>Falla</v>
      </c>
      <c r="AR20" s="215" t="str" cm="1">
        <f t="array" aca="1" ref="AR20" ca="1">IF($B20="","",IF(ISBLANK(INDIRECT("R9.Web!D"&amp;SUM(18,38*8,1))),"",INDIRECT("R9.Web!D"&amp;SUM(18,38*8,1))))</f>
        <v>Pasa</v>
      </c>
      <c r="AS20" s="215" t="str" cm="1">
        <f t="array" aca="1" ref="AS20" ca="1">IF($B20="","",IF(ISBLANK(INDIRECT("R9.Web!D"&amp;SUM(18,38*9,1))),"",INDIRECT("R9.Web!D"&amp;SUM(18,38*9,1))))</f>
        <v>N/A</v>
      </c>
      <c r="AT20" s="215" t="str" cm="1">
        <f t="array" aca="1" ref="AT20" ca="1">IF($B20="","",IF(ISBLANK(INDIRECT("R9.Web!D"&amp;SUM(18,38*10,1))),"",INDIRECT("R9.Web!D"&amp;SUM(18,38*10,1))))</f>
        <v>Falla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Falla</v>
      </c>
      <c r="AY20" s="215" t="str" cm="1">
        <f t="array" aca="1" ref="AY20" ca="1">IF($B20="","",IF(ISBLANK(INDIRECT("R9.Web!D"&amp;SUM(18,38*15,1))),"",INDIRECT("R9.Web!D"&amp;SUM(18,38*15,1))))</f>
        <v>Falla</v>
      </c>
      <c r="AZ20" s="215" t="str" cm="1">
        <f t="array" aca="1" ref="AZ20" ca="1">IF($B20="","",IF(ISBLANK(INDIRECT("R9.Web!D"&amp;SUM(18,38*16,1))),"",INDIRECT("R9.Web!D"&amp;SUM(18,38*16,1))))</f>
        <v>Falla</v>
      </c>
      <c r="BA20" s="215" t="str" cm="1">
        <f t="array" aca="1" ref="BA20" ca="1">IF($B20="","",IF(ISBLANK(INDIRECT("R9.Web!D"&amp;SUM(18,38*17,1))),"",INDIRECT("R9.Web!D"&amp;SUM(18,38*17,1))))</f>
        <v>Falla</v>
      </c>
      <c r="BB20" s="215" t="str" cm="1">
        <f t="array" aca="1" ref="BB20" ca="1">IF($B20="","",IF(ISBLANK(INDIRECT("R9.Web!D"&amp;SUM(18,38*18,1))),"",INDIRECT("R9.Web!D"&amp;SUM(18,38*18,1))))</f>
        <v>N/A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Falla</v>
      </c>
      <c r="BF20" s="215" t="str" cm="1">
        <f t="array" aca="1" ref="BF20" ca="1">IF($B20="","",IF(ISBLANK(INDIRECT("R9.Web!D"&amp;SUM(18,38*22,1))),"",INDIRECT("R9.Web!D"&amp;SUM(18,38*22,1))))</f>
        <v>N/A</v>
      </c>
      <c r="BG20" s="215" t="str" cm="1">
        <f t="array" aca="1" ref="BG20" ca="1">IF($B20="","",IF(ISBLANK(INDIRECT("R9.Web!D"&amp;SUM(18,38*23,1))),"",INDIRECT("R9.Web!D"&amp;SUM(18,38*23,1))))</f>
        <v>Pasa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Falla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Falla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Pasa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Pasa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N/A</v>
      </c>
      <c r="CE20" s="215" t="str" cm="1">
        <f t="array" aca="1" ref="CE20" ca="1">IF($B20="","",IF(ISBLANK(INDIRECT("R9.Web!D"&amp;SUM(18,38*47,1))),"",INDIRECT("R9.Web!D"&amp;SUM(18,38*47,1))))</f>
        <v>Falla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Pasa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N/A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N/A</v>
      </c>
      <c r="CR20" s="215" t="str" cm="1">
        <f t="array" aca="1" ref="CR20" ca="1">IF($B20="","",IF(ISBLANK(INDIRECT("R12.ServiciosApoyo!D"&amp;SUM(18,38*4,1))),"",INDIRECT("R12.ServiciosApoyo!D"&amp;SUM(18,38*4,1))))</f>
        <v>N/A</v>
      </c>
      <c r="CU20" s="31"/>
      <c r="CV20" s="29"/>
      <c r="CW20" s="29"/>
      <c r="CX20" s="29"/>
    </row>
    <row r="21" spans="2:102" ht="20.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Red de metro</v>
      </c>
      <c r="D21" s="98" t="str" cm="1">
        <f t="array" ref="D21">IFERROR(INDEX('03.Muestra'!$F$8:$F$42,SMALL(IF("Página Web"='03.Muestra'!$D$8:$D$42,ROW('03.Muestra'!$F$8:$F$42)-MIN(ROW('03.Muestra'!$D$8:$D$42))+1,""),ROW()-19)),"")</f>
        <v>https://www.crtm.es/tu-transporte-publico/metro/</v>
      </c>
      <c r="E21" s="215" t="str" cm="1">
        <f t="array" aca="1" ref="E21" ca="1">IF($B21="","",IF(ISBLANK(INDIRECT("R5.Genéricos!D"&amp;SUM(18,38*0,2))),"",INDIRECT("R5.Genéricos!D"&amp;SUM(18,38*0,2))))</f>
        <v>Pasa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Falla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Falla</v>
      </c>
      <c r="AQ21" s="215" t="str" cm="1">
        <f t="array" aca="1" ref="AQ21" ca="1">IF($B21="","",IF(ISBLANK(INDIRECT("R9.Web!D"&amp;SUM(18,38*7,2))),"",INDIRECT("R9.Web!D"&amp;SUM(18,38*7,2))))</f>
        <v>Falla</v>
      </c>
      <c r="AR21" s="215" t="str" cm="1">
        <f t="array" aca="1" ref="AR21" ca="1">IF($B21="","",IF(ISBLANK(INDIRECT("R9.Web!D"&amp;SUM(18,38*8,2))),"",INDIRECT("R9.Web!D"&amp;SUM(18,38*8,2))))</f>
        <v>Pasa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Falla</v>
      </c>
      <c r="BA21" s="215" t="str" cm="1">
        <f t="array" aca="1" ref="BA21" ca="1">IF($B21="","",IF(ISBLANK(INDIRECT("R9.Web!D"&amp;SUM(18,38*17,2))),"",INDIRECT("R9.Web!D"&amp;SUM(18,38*17,2))))</f>
        <v>Falla</v>
      </c>
      <c r="BB21" s="215" t="str" cm="1">
        <f t="array" aca="1" ref="BB21" ca="1">IF($B21="","",IF(ISBLANK(INDIRECT("R9.Web!D"&amp;SUM(18,38*18,2))),"",INDIRECT("R9.Web!D"&amp;SUM(18,38*18,2))))</f>
        <v>N/A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Falla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Falla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Falla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Pasa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Pasa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N/A</v>
      </c>
      <c r="CE21" s="215" t="str" cm="1">
        <f t="array" aca="1" ref="CE21" ca="1">IF($B21="","",IF(ISBLANK(INDIRECT("R9.Web!D"&amp;SUM(18,38*47,2))),"",INDIRECT("R9.Web!D"&amp;SUM(18,38*47,2))))</f>
        <v>Falla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Pasa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N/A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N/A</v>
      </c>
      <c r="CR21" s="215" t="str" cm="1">
        <f t="array" aca="1" ref="CR21" ca="1">IF($B21="","",IF(ISBLANK(INDIRECT("R12.ServiciosApoyo!D"&amp;SUM(18,38*4,2))),"",INDIRECT("R12.ServiciosApoyo!D"&amp;SUM(18,38*4,2))))</f>
        <v>N/A</v>
      </c>
      <c r="CU21" s="100"/>
      <c r="CV21" s="29"/>
      <c r="CW21" s="29"/>
      <c r="CX21" s="29"/>
    </row>
    <row r="22" spans="2:102" ht="20.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Líneas de metro</v>
      </c>
      <c r="D22" s="98" t="str" cm="1">
        <f t="array" ref="D22">IFERROR(INDEX('03.Muestra'!$F$8:$F$42,SMALL(IF("Página Web"='03.Muestra'!$D$8:$D$42,ROW('03.Muestra'!$F$8:$F$42)-MIN(ROW('03.Muestra'!$D$8:$D$42))+1,""),ROW()-19)),"")</f>
        <v>https://www.crtm.es/tu-transporte-publico/metro/lineas/4__1___</v>
      </c>
      <c r="E22" s="215" t="str" cm="1">
        <f t="array" aca="1" ref="E22" ca="1">IF($B22="","",IF(ISBLANK(INDIRECT("R5.Genéricos!D"&amp;SUM(18,38*0,3))),"",INDIRECT("R5.Genéricos!D"&amp;SUM(18,38*0,3))))</f>
        <v>Pasa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Falla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Falla</v>
      </c>
      <c r="AQ22" s="215" t="str" cm="1">
        <f t="array" aca="1" ref="AQ22" ca="1">IF($B22="","",IF(ISBLANK(INDIRECT("R9.Web!D"&amp;SUM(18,38*7,3))),"",INDIRECT("R9.Web!D"&amp;SUM(18,38*7,3))))</f>
        <v>Falla</v>
      </c>
      <c r="AR22" s="215" t="str" cm="1">
        <f t="array" aca="1" ref="AR22" ca="1">IF($B22="","",IF(ISBLANK(INDIRECT("R9.Web!D"&amp;SUM(18,38*8,3))),"",INDIRECT("R9.Web!D"&amp;SUM(18,38*8,3))))</f>
        <v>Pasa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Falla</v>
      </c>
      <c r="AW22" s="215" t="str" cm="1">
        <f t="array" aca="1" ref="AW22" ca="1">IF($B22="","",IF(ISBLANK(INDIRECT("R9.Web!D"&amp;SUM(18,38*13,3))),"",INDIRECT("R9.Web!D"&amp;SUM(18,38*13,3))))</f>
        <v>Falla</v>
      </c>
      <c r="AX22" s="215" t="str" cm="1">
        <f t="array" aca="1" ref="AX22" ca="1">IF($B22="","",IF(ISBLANK(INDIRECT("R9.Web!D"&amp;SUM(18,38*14,3))),"",INDIRECT("R9.Web!D"&amp;SUM(18,38*14,3))))</f>
        <v>Falla</v>
      </c>
      <c r="AY22" s="215" t="str" cm="1">
        <f t="array" aca="1" ref="AY22" ca="1">IF($B22="","",IF(ISBLANK(INDIRECT("R9.Web!D"&amp;SUM(18,38*15,3))),"",INDIRECT("R9.Web!D"&amp;SUM(18,38*15,3))))</f>
        <v>Falla</v>
      </c>
      <c r="AZ22" s="215" t="str" cm="1">
        <f t="array" aca="1" ref="AZ22" ca="1">IF($B22="","",IF(ISBLANK(INDIRECT("R9.Web!D"&amp;SUM(18,38*16,3))),"",INDIRECT("R9.Web!D"&amp;SUM(18,38*16,3))))</f>
        <v>Falla</v>
      </c>
      <c r="BA22" s="215" t="str" cm="1">
        <f t="array" aca="1" ref="BA22" ca="1">IF($B22="","",IF(ISBLANK(INDIRECT("R9.Web!D"&amp;SUM(18,38*17,3))),"",INDIRECT("R9.Web!D"&amp;SUM(18,38*17,3))))</f>
        <v>Falla</v>
      </c>
      <c r="BB22" s="215" t="str" cm="1">
        <f t="array" aca="1" ref="BB22" ca="1">IF($B22="","",IF(ISBLANK(INDIRECT("R9.Web!D"&amp;SUM(18,38*18,3))),"",INDIRECT("R9.Web!D"&amp;SUM(18,38*18,3))))</f>
        <v>N/A</v>
      </c>
      <c r="BC22" s="215" t="str" cm="1">
        <f t="array" aca="1" ref="BC22" ca="1">IF($B22="","",IF(ISBLANK(INDIRECT("R9.Web!D"&amp;SUM(18,38*19,3))),"",INDIRECT("R9.Web!D"&amp;SUM(18,38*19,3))))</f>
        <v>Falla</v>
      </c>
      <c r="BD22" s="215" t="str" cm="1">
        <f t="array" aca="1" ref="BD22" ca="1">IF($B22="","",IF(ISBLANK(INDIRECT("R9.Web!D"&amp;SUM(18,38*20,3))),"",INDIRECT("R9.Web!D"&amp;SUM(18,38*20,3))))</f>
        <v>Pasa</v>
      </c>
      <c r="BE22" s="215" t="str" cm="1">
        <f t="array" aca="1" ref="BE22" ca="1">IF($B22="","",IF(ISBLANK(INDIRECT("R9.Web!D"&amp;SUM(18,38*21,3))),"",INDIRECT("R9.Web!D"&amp;SUM(18,38*21,3))))</f>
        <v>Falla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Falla</v>
      </c>
      <c r="BK22" s="215" t="str" cm="1">
        <f t="array" aca="1" ref="BK22" ca="1">IF($B22="","",IF(ISBLANK(INDIRECT("R9.Web!D"&amp;SUM(18,38*27,3))),"",INDIRECT("R9.Web!D"&amp;SUM(18,38*27,3))))</f>
        <v>Falla</v>
      </c>
      <c r="BL22" s="215" t="str" cm="1">
        <f t="array" aca="1" ref="BL22" ca="1">IF($B22="","",IF(ISBLANK(INDIRECT("R9.Web!D"&amp;SUM(18,38*28,3))),"",INDIRECT("R9.Web!D"&amp;SUM(18,38*28,3))))</f>
        <v>Falla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Falla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Pasa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N/A</v>
      </c>
      <c r="CE22" s="215" t="str" cm="1">
        <f t="array" aca="1" ref="CE22" ca="1">IF($B22="","",IF(ISBLANK(INDIRECT("R9.Web!D"&amp;SUM(18,38*47,3))),"",INDIRECT("R9.Web!D"&amp;SUM(18,38*47,3))))</f>
        <v>Falla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Pasa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N/A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N/A</v>
      </c>
      <c r="CR22" s="215" t="str" cm="1">
        <f t="array" aca="1" ref="CR22" ca="1">IF($B22="","",IF(ISBLANK(INDIRECT("R12.ServiciosApoyo!D"&amp;SUM(18,38*4,3))),"",INDIRECT("R12.ServiciosApoyo!D"&amp;SUM(18,38*4,3))))</f>
        <v>N/A</v>
      </c>
      <c r="CU22" s="100"/>
      <c r="CV22" s="29"/>
      <c r="CW22" s="29"/>
      <c r="CX22" s="29"/>
    </row>
    <row r="23" spans="2:102" ht="20.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Estaciones Aeropuerto T1-T2-T3</v>
      </c>
      <c r="D23" s="98" t="str" cm="1">
        <f t="array" ref="D23">IFERROR(INDEX('03.Muestra'!$F$8:$F$42,SMALL(IF("Página Web"='03.Muestra'!$D$8:$D$42,ROW('03.Muestra'!$F$8:$F$42)-MIN(ROW('03.Muestra'!$D$8:$D$42))+1,""),ROW()-19)),"")</f>
        <v>https://www.crtm.es/tu-transporte-publico/metro/estaciones/4_159</v>
      </c>
      <c r="E23" s="215" t="str" cm="1">
        <f t="array" aca="1" ref="E23" ca="1">IF($B23="","",IF(ISBLANK(INDIRECT("R5.Genéricos!D"&amp;SUM(18,38*0,4))),"",INDIRECT("R5.Genéricos!D"&amp;SUM(18,38*0,4))))</f>
        <v>Pasa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Falla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Falla</v>
      </c>
      <c r="AP23" s="215" t="str" cm="1">
        <f t="array" aca="1" ref="AP23" ca="1">IF($B23="","",IF(ISBLANK(INDIRECT("R9.Web!D"&amp;SUM(18,38*6,4))),"",INDIRECT("R9.Web!D"&amp;SUM(18,38*6,4))))</f>
        <v>Falla</v>
      </c>
      <c r="AQ23" s="215" t="str" cm="1">
        <f t="array" aca="1" ref="AQ23" ca="1">IF($B23="","",IF(ISBLANK(INDIRECT("R9.Web!D"&amp;SUM(18,38*7,4))),"",INDIRECT("R9.Web!D"&amp;SUM(18,38*7,4))))</f>
        <v>Falla</v>
      </c>
      <c r="AR23" s="215" t="str" cm="1">
        <f t="array" aca="1" ref="AR23" ca="1">IF($B23="","",IF(ISBLANK(INDIRECT("R9.Web!D"&amp;SUM(18,38*8,4))),"",INDIRECT("R9.Web!D"&amp;SUM(18,38*8,4))))</f>
        <v>Pasa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Falla</v>
      </c>
      <c r="AW23" s="215" t="str" cm="1">
        <f t="array" aca="1" ref="AW23" ca="1">IF($B23="","",IF(ISBLANK(INDIRECT("R9.Web!D"&amp;SUM(18,38*13,4))),"",INDIRECT("R9.Web!D"&amp;SUM(18,38*13,4))))</f>
        <v>Falla</v>
      </c>
      <c r="AX23" s="215" t="str" cm="1">
        <f t="array" aca="1" ref="AX23" ca="1">IF($B23="","",IF(ISBLANK(INDIRECT("R9.Web!D"&amp;SUM(18,38*14,4))),"",INDIRECT("R9.Web!D"&amp;SUM(18,38*14,4))))</f>
        <v>Falla</v>
      </c>
      <c r="AY23" s="215" t="str" cm="1">
        <f t="array" aca="1" ref="AY23" ca="1">IF($B23="","",IF(ISBLANK(INDIRECT("R9.Web!D"&amp;SUM(18,38*15,4))),"",INDIRECT("R9.Web!D"&amp;SUM(18,38*15,4))))</f>
        <v>Falla</v>
      </c>
      <c r="AZ23" s="215" t="str" cm="1">
        <f t="array" aca="1" ref="AZ23" ca="1">IF($B23="","",IF(ISBLANK(INDIRECT("R9.Web!D"&amp;SUM(18,38*16,4))),"",INDIRECT("R9.Web!D"&amp;SUM(18,38*16,4))))</f>
        <v>Falla</v>
      </c>
      <c r="BA23" s="215" t="str" cm="1">
        <f t="array" aca="1" ref="BA23" ca="1">IF($B23="","",IF(ISBLANK(INDIRECT("R9.Web!D"&amp;SUM(18,38*17,4))),"",INDIRECT("R9.Web!D"&amp;SUM(18,38*17,4))))</f>
        <v>Falla</v>
      </c>
      <c r="BB23" s="215" t="str" cm="1">
        <f t="array" aca="1" ref="BB23" ca="1">IF($B23="","",IF(ISBLANK(INDIRECT("R9.Web!D"&amp;SUM(18,38*18,4))),"",INDIRECT("R9.Web!D"&amp;SUM(18,38*18,4))))</f>
        <v>N/A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Falla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Falla</v>
      </c>
      <c r="BL23" s="215" t="str" cm="1">
        <f t="array" aca="1" ref="BL23" ca="1">IF($B23="","",IF(ISBLANK(INDIRECT("R9.Web!D"&amp;SUM(18,38*28,4))),"",INDIRECT("R9.Web!D"&amp;SUM(18,38*28,4))))</f>
        <v>Falla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Pasa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Pasa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Pasa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N/A</v>
      </c>
      <c r="CE23" s="215" t="str" cm="1">
        <f t="array" aca="1" ref="CE23" ca="1">IF($B23="","",IF(ISBLANK(INDIRECT("R9.Web!D"&amp;SUM(18,38*47,4))),"",INDIRECT("R9.Web!D"&amp;SUM(18,38*47,4))))</f>
        <v>Falla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Pasa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N/A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N/A</v>
      </c>
      <c r="CR23" s="215" t="str" cm="1">
        <f t="array" aca="1" ref="CR23" ca="1">IF($B23="","",IF(ISBLANK(INDIRECT("R12.ServiciosApoyo!D"&amp;SUM(18,38*4,4))),"",INDIRECT("R12.ServiciosApoyo!D"&amp;SUM(18,38*4,4))))</f>
        <v>N/A</v>
      </c>
      <c r="CU23" s="100"/>
      <c r="CV23" s="29"/>
      <c r="CW23" s="29"/>
      <c r="CX23" s="29"/>
    </row>
    <row r="24" spans="2:102" ht="20.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Muévete por Madrid</v>
      </c>
      <c r="D24" s="98" t="str" cm="1">
        <f t="array" ref="D24">IFERROR(INDEX('03.Muestra'!$F$8:$F$42,SMALL(IF("Página Web"='03.Muestra'!$D$8:$D$42,ROW('03.Muestra'!$F$8:$F$42)-MIN(ROW('03.Muestra'!$D$8:$D$42))+1,""),ROW()-19)),"")</f>
        <v>https://www.crtm.es/muevete-por-madrid/</v>
      </c>
      <c r="E24" s="215" t="str" cm="1">
        <f t="array" aca="1" ref="E24" ca="1">IF($B24="","",IF(ISBLANK(INDIRECT("R5.Genéricos!D"&amp;SUM(18,38*0,5))),"",INDIRECT("R5.Genéricos!D"&amp;SUM(18,38*0,5))))</f>
        <v>Pasa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Falla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Falla</v>
      </c>
      <c r="AP24" s="215" t="str" cm="1">
        <f t="array" aca="1" ref="AP24" ca="1">IF($B24="","",IF(ISBLANK(INDIRECT("R9.Web!D"&amp;SUM(18,38*6,5))),"",INDIRECT("R9.Web!D"&amp;SUM(18,38*6,5))))</f>
        <v>Falla</v>
      </c>
      <c r="AQ24" s="215" t="str" cm="1">
        <f t="array" aca="1" ref="AQ24" ca="1">IF($B24="","",IF(ISBLANK(INDIRECT("R9.Web!D"&amp;SUM(18,38*7,5))),"",INDIRECT("R9.Web!D"&amp;SUM(18,38*7,5))))</f>
        <v>Falla</v>
      </c>
      <c r="AR24" s="215" t="str" cm="1">
        <f t="array" aca="1" ref="AR24" ca="1">IF($B24="","",IF(ISBLANK(INDIRECT("R9.Web!D"&amp;SUM(18,38*8,5))),"",INDIRECT("R9.Web!D"&amp;SUM(18,38*8,5))))</f>
        <v>Pasa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Falla</v>
      </c>
      <c r="BA24" s="215" t="str" cm="1">
        <f t="array" aca="1" ref="BA24" ca="1">IF($B24="","",IF(ISBLANK(INDIRECT("R9.Web!D"&amp;SUM(18,38*17,5))),"",INDIRECT("R9.Web!D"&amp;SUM(18,38*17,5))))</f>
        <v>Falla</v>
      </c>
      <c r="BB24" s="215" t="str" cm="1">
        <f t="array" aca="1" ref="BB24" ca="1">IF($B24="","",IF(ISBLANK(INDIRECT("R9.Web!D"&amp;SUM(18,38*18,5))),"",INDIRECT("R9.Web!D"&amp;SUM(18,38*18,5))))</f>
        <v>N/A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Falla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Falla</v>
      </c>
      <c r="BL24" s="215" t="str" cm="1">
        <f t="array" aca="1" ref="BL24" ca="1">IF($B24="","",IF(ISBLANK(INDIRECT("R9.Web!D"&amp;SUM(18,38*28,5))),"",INDIRECT("R9.Web!D"&amp;SUM(18,38*28,5))))</f>
        <v>Falla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Pasa</v>
      </c>
      <c r="BR24" s="215" t="str" cm="1">
        <f t="array" aca="1" ref="BR24" ca="1">IF($B24="","",IF(ISBLANK(INDIRECT("R9.Web!D"&amp;SUM(18,38*34,5))),"",INDIRECT("R9.Web!D"&amp;SUM(18,38*34,5))))</f>
        <v>Falla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Pasa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Pasa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N/A</v>
      </c>
      <c r="CE24" s="215" t="str" cm="1">
        <f t="array" aca="1" ref="CE24" ca="1">IF($B24="","",IF(ISBLANK(INDIRECT("R9.Web!D"&amp;SUM(18,38*47,5))),"",INDIRECT("R9.Web!D"&amp;SUM(18,38*47,5))))</f>
        <v>Falla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Pasa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N/A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N/A</v>
      </c>
      <c r="CR24" s="215" t="str" cm="1">
        <f t="array" aca="1" ref="CR24" ca="1">IF($B24="","",IF(ISBLANK(INDIRECT("R12.ServiciosApoyo!D"&amp;SUM(18,38*4,5))),"",INDIRECT("R12.ServiciosApoyo!D"&amp;SUM(18,38*4,5))))</f>
        <v>N/A</v>
      </c>
      <c r="CU24" s="100"/>
      <c r="CV24" s="29"/>
      <c r="CW24" s="29"/>
      <c r="CX24" s="29"/>
    </row>
    <row r="25" spans="2:102" ht="20.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conexiones con aeropuerto y principales estaciones</v>
      </c>
      <c r="D25" s="98" t="str" cm="1">
        <f t="array" ref="D25">IFERROR(INDEX('03.Muestra'!$F$8:$F$42,SMALL(IF("Página Web"='03.Muestra'!$D$8:$D$42,ROW('03.Muestra'!$F$8:$F$42)-MIN(ROW('03.Muestra'!$D$8:$D$42))+1,""),ROW()-19)),"")</f>
        <v xml:space="preserve">https://www.crtm.es/muevete-por-madrid/conexiones-con-aeropuerto-y-principales-estaciones/ </v>
      </c>
      <c r="E25" s="215" t="str" cm="1">
        <f t="array" aca="1" ref="E25" ca="1">IF($B25="","",IF(ISBLANK(INDIRECT("R5.Genéricos!D"&amp;SUM(18,38*0,6))),"",INDIRECT("R5.Genéricos!D"&amp;SUM(18,38*0,6))))</f>
        <v>Pasa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Falla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Falla</v>
      </c>
      <c r="AP25" s="215" t="str" cm="1">
        <f t="array" aca="1" ref="AP25" ca="1">IF($B25="","",IF(ISBLANK(INDIRECT("R9.Web!D"&amp;SUM(18,38*6,6))),"",INDIRECT("R9.Web!D"&amp;SUM(18,38*6,6))))</f>
        <v>Falla</v>
      </c>
      <c r="AQ25" s="215" t="str" cm="1">
        <f t="array" aca="1" ref="AQ25" ca="1">IF($B25="","",IF(ISBLANK(INDIRECT("R9.Web!D"&amp;SUM(18,38*7,6))),"",INDIRECT("R9.Web!D"&amp;SUM(18,38*7,6))))</f>
        <v>Falla</v>
      </c>
      <c r="AR25" s="215" t="str" cm="1">
        <f t="array" aca="1" ref="AR25" ca="1">IF($B25="","",IF(ISBLANK(INDIRECT("R9.Web!D"&amp;SUM(18,38*8,6))),"",INDIRECT("R9.Web!D"&amp;SUM(18,38*8,6))))</f>
        <v>Pasa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Falla</v>
      </c>
      <c r="AY25" s="215" t="str" cm="1">
        <f t="array" aca="1" ref="AY25" ca="1">IF($B25="","",IF(ISBLANK(INDIRECT("R9.Web!D"&amp;SUM(18,38*15,6))),"",INDIRECT("R9.Web!D"&amp;SUM(18,38*15,6))))</f>
        <v>Falla</v>
      </c>
      <c r="AZ25" s="215" t="str" cm="1">
        <f t="array" aca="1" ref="AZ25" ca="1">IF($B25="","",IF(ISBLANK(INDIRECT("R9.Web!D"&amp;SUM(18,38*16,6))),"",INDIRECT("R9.Web!D"&amp;SUM(18,38*16,6))))</f>
        <v>Falla</v>
      </c>
      <c r="BA25" s="215" t="str" cm="1">
        <f t="array" aca="1" ref="BA25" ca="1">IF($B25="","",IF(ISBLANK(INDIRECT("R9.Web!D"&amp;SUM(18,38*17,6))),"",INDIRECT("R9.Web!D"&amp;SUM(18,38*17,6))))</f>
        <v>Falla</v>
      </c>
      <c r="BB25" s="215" t="str" cm="1">
        <f t="array" aca="1" ref="BB25" ca="1">IF($B25="","",IF(ISBLANK(INDIRECT("R9.Web!D"&amp;SUM(18,38*18,6))),"",INDIRECT("R9.Web!D"&amp;SUM(18,38*18,6))))</f>
        <v>N/A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Falla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Falla</v>
      </c>
      <c r="BL25" s="215" t="str" cm="1">
        <f t="array" aca="1" ref="BL25" ca="1">IF($B25="","",IF(ISBLANK(INDIRECT("R9.Web!D"&amp;SUM(18,38*28,6))),"",INDIRECT("R9.Web!D"&amp;SUM(18,38*28,6))))</f>
        <v>Falla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Pasa</v>
      </c>
      <c r="BR25" s="215" t="str" cm="1">
        <f t="array" aca="1" ref="BR25" ca="1">IF($B25="","",IF(ISBLANK(INDIRECT("R9.Web!D"&amp;SUM(18,38*34,6))),"",INDIRECT("R9.Web!D"&amp;SUM(18,38*34,6))))</f>
        <v>Falla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Pasa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N/A</v>
      </c>
      <c r="CE25" s="215" t="str" cm="1">
        <f t="array" aca="1" ref="CE25" ca="1">IF($B25="","",IF(ISBLANK(INDIRECT("R9.Web!D"&amp;SUM(18,38*47,6))),"",INDIRECT("R9.Web!D"&amp;SUM(18,38*47,6))))</f>
        <v>Falla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Pasa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N/A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N/A</v>
      </c>
      <c r="CR25" s="215" t="str" cm="1">
        <f t="array" aca="1" ref="CR25" ca="1">IF($B25="","",IF(ISBLANK(INDIRECT("R12.ServiciosApoyo!D"&amp;SUM(18,38*4,6))),"",INDIRECT("R12.ServiciosApoyo!D"&amp;SUM(18,38*4,6))))</f>
        <v>N/A</v>
      </c>
      <c r="CU25" s="100"/>
      <c r="CV25" s="29"/>
      <c r="CW25" s="29"/>
      <c r="CX25" s="29"/>
    </row>
    <row r="26" spans="2:102" ht="20.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Atención desplazados Ucranianos</v>
      </c>
      <c r="D26" s="98" t="str" cm="1">
        <f t="array" ref="D26">IFERROR(INDEX('03.Muestra'!$F$8:$F$42,SMALL(IF("Página Web"='03.Muestra'!$D$8:$D$42,ROW('03.Muestra'!$F$8:$F$42)-MIN(ROW('03.Muestra'!$D$8:$D$42))+1,""),ROW()-19)),"")</f>
        <v>https://www.crtm.es/atencion-desplazados-ucranianos/#item3</v>
      </c>
      <c r="E26" s="215" t="str" cm="1">
        <f t="array" aca="1" ref="E26" ca="1">IF($B26="","",IF(ISBLANK(INDIRECT("R5.Genéricos!D"&amp;SUM(18,38*0,7))),"",INDIRECT("R5.Genéricos!D"&amp;SUM(18,38*0,7))))</f>
        <v>Pasa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Falla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Falla</v>
      </c>
      <c r="AQ26" s="215" t="str" cm="1">
        <f t="array" aca="1" ref="AQ26" ca="1">IF($B26="","",IF(ISBLANK(INDIRECT("R9.Web!D"&amp;SUM(18,38*7,7))),"",INDIRECT("R9.Web!D"&amp;SUM(18,38*7,7))))</f>
        <v>Falla</v>
      </c>
      <c r="AR26" s="215" t="str" cm="1">
        <f t="array" aca="1" ref="AR26" ca="1">IF($B26="","",IF(ISBLANK(INDIRECT("R9.Web!D"&amp;SUM(18,38*8,7))),"",INDIRECT("R9.Web!D"&amp;SUM(18,38*8,7))))</f>
        <v>Pasa</v>
      </c>
      <c r="AS26" s="215" t="str" cm="1">
        <f t="array" aca="1" ref="AS26" ca="1">IF($B26="","",IF(ISBLANK(INDIRECT("R9.Web!D"&amp;SUM(18,38*9,7))),"",INDIRECT("R9.Web!D"&amp;SUM(18,38*9,7))))</f>
        <v>N/A</v>
      </c>
      <c r="AT26" s="215" t="str" cm="1">
        <f t="array" aca="1" ref="AT26" ca="1">IF($B26="","",IF(ISBLANK(INDIRECT("R9.Web!D"&amp;SUM(18,38*10,7))),"",INDIRECT("R9.Web!D"&amp;SUM(18,38*10,7))))</f>
        <v>Falla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Falla</v>
      </c>
      <c r="AY26" s="215" t="str" cm="1">
        <f t="array" aca="1" ref="AY26" ca="1">IF($B26="","",IF(ISBLANK(INDIRECT("R9.Web!D"&amp;SUM(18,38*15,7))),"",INDIRECT("R9.Web!D"&amp;SUM(18,38*15,7))))</f>
        <v>Falla</v>
      </c>
      <c r="AZ26" s="215" t="str" cm="1">
        <f t="array" aca="1" ref="AZ26" ca="1">IF($B26="","",IF(ISBLANK(INDIRECT("R9.Web!D"&amp;SUM(18,38*16,7))),"",INDIRECT("R9.Web!D"&amp;SUM(18,38*16,7))))</f>
        <v>Falla</v>
      </c>
      <c r="BA26" s="215" t="str" cm="1">
        <f t="array" aca="1" ref="BA26" ca="1">IF($B26="","",IF(ISBLANK(INDIRECT("R9.Web!D"&amp;SUM(18,38*17,7))),"",INDIRECT("R9.Web!D"&amp;SUM(18,38*17,7))))</f>
        <v>Falla</v>
      </c>
      <c r="BB26" s="215" t="str" cm="1">
        <f t="array" aca="1" ref="BB26" ca="1">IF($B26="","",IF(ISBLANK(INDIRECT("R9.Web!D"&amp;SUM(18,38*18,7))),"",INDIRECT("R9.Web!D"&amp;SUM(18,38*18,7))))</f>
        <v>N/A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Falla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Falla</v>
      </c>
      <c r="BL26" s="215" t="str" cm="1">
        <f t="array" aca="1" ref="BL26" ca="1">IF($B26="","",IF(ISBLANK(INDIRECT("R9.Web!D"&amp;SUM(18,38*28,7))),"",INDIRECT("R9.Web!D"&amp;SUM(18,38*28,7))))</f>
        <v>Falla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Pasa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Pasa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Pasa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N/A</v>
      </c>
      <c r="CE26" s="215" t="str" cm="1">
        <f t="array" aca="1" ref="CE26" ca="1">IF($B26="","",IF(ISBLANK(INDIRECT("R9.Web!D"&amp;SUM(18,38*47,7))),"",INDIRECT("R9.Web!D"&amp;SUM(18,38*47,7))))</f>
        <v>Falla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Pasa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N/A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N/A</v>
      </c>
      <c r="CR26" s="215" t="str" cm="1">
        <f t="array" aca="1" ref="CR26" ca="1">IF($B26="","",IF(ISBLANK(INDIRECT("R12.ServiciosApoyo!D"&amp;SUM(18,38*4,7))),"",INDIRECT("R12.ServiciosApoyo!D"&amp;SUM(18,38*4,7))))</f>
        <v>N/A</v>
      </c>
      <c r="CU26" s="100"/>
      <c r="CV26" s="29"/>
      <c r="CW26" s="29"/>
      <c r="CX26" s="29"/>
    </row>
    <row r="27" spans="2:102" ht="20.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Preguntas frecuentes (Tarjeta transporte público personal)</v>
      </c>
      <c r="D27" s="98" t="str" cm="1">
        <f t="array" ref="D27">IFERROR(INDEX('03.Muestra'!$F$8:$F$42,SMALL(IF("Página Web"='03.Muestra'!$D$8:$D$42,ROW('03.Muestra'!$F$8:$F$42)-MIN(ROW('03.Muestra'!$D$8:$D$42))+1,""),ROW()-19)),"")</f>
        <v xml:space="preserve"> https://www.crtm.es/billetes-y-tarifas/tarjeta-transporte-publico/preguntas-frecuentes/#item23</v>
      </c>
      <c r="E27" s="215" t="str" cm="1">
        <f t="array" aca="1" ref="E27" ca="1">IF($B27="","",IF(ISBLANK(INDIRECT("R5.Genéricos!D"&amp;SUM(18,38*0,8))),"",INDIRECT("R5.Genéricos!D"&amp;SUM(18,38*0,8))))</f>
        <v>Pasa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Falla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Falla</v>
      </c>
      <c r="AP27" s="215" t="str" cm="1">
        <f t="array" aca="1" ref="AP27" ca="1">IF($B27="","",IF(ISBLANK(INDIRECT("R9.Web!D"&amp;SUM(18,38*6,8))),"",INDIRECT("R9.Web!D"&amp;SUM(18,38*6,8))))</f>
        <v>Falla</v>
      </c>
      <c r="AQ27" s="215" t="str" cm="1">
        <f t="array" aca="1" ref="AQ27" ca="1">IF($B27="","",IF(ISBLANK(INDIRECT("R9.Web!D"&amp;SUM(18,38*7,8))),"",INDIRECT("R9.Web!D"&amp;SUM(18,38*7,8))))</f>
        <v>Falla</v>
      </c>
      <c r="AR27" s="215" t="str" cm="1">
        <f t="array" aca="1" ref="AR27" ca="1">IF($B27="","",IF(ISBLANK(INDIRECT("R9.Web!D"&amp;SUM(18,38*8,8))),"",INDIRECT("R9.Web!D"&amp;SUM(18,38*8,8))))</f>
        <v>Pasa</v>
      </c>
      <c r="AS27" s="215" t="str" cm="1">
        <f t="array" aca="1" ref="AS27" ca="1">IF($B27="","",IF(ISBLANK(INDIRECT("R9.Web!D"&amp;SUM(18,38*9,8))),"",INDIRECT("R9.Web!D"&amp;SUM(18,38*9,8))))</f>
        <v>N/A</v>
      </c>
      <c r="AT27" s="215" t="str" cm="1">
        <f t="array" aca="1" ref="AT27" ca="1">IF($B27="","",IF(ISBLANK(INDIRECT("R9.Web!D"&amp;SUM(18,38*10,8))),"",INDIRECT("R9.Web!D"&amp;SUM(18,38*10,8))))</f>
        <v>Falla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Falla</v>
      </c>
      <c r="BA27" s="215" t="str" cm="1">
        <f t="array" aca="1" ref="BA27" ca="1">IF($B27="","",IF(ISBLANK(INDIRECT("R9.Web!D"&amp;SUM(18,38*17,8))),"",INDIRECT("R9.Web!D"&amp;SUM(18,38*17,8))))</f>
        <v>Falla</v>
      </c>
      <c r="BB27" s="215" t="str" cm="1">
        <f t="array" aca="1" ref="BB27" ca="1">IF($B27="","",IF(ISBLANK(INDIRECT("R9.Web!D"&amp;SUM(18,38*18,8))),"",INDIRECT("R9.Web!D"&amp;SUM(18,38*18,8))))</f>
        <v>N/A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Falla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Falla</v>
      </c>
      <c r="BL27" s="215" t="str" cm="1">
        <f t="array" aca="1" ref="BL27" ca="1">IF($B27="","",IF(ISBLANK(INDIRECT("R9.Web!D"&amp;SUM(18,38*28,8))),"",INDIRECT("R9.Web!D"&amp;SUM(18,38*28,8))))</f>
        <v>Falla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Falla</v>
      </c>
      <c r="BP27" s="215" t="str" cm="1">
        <f t="array" aca="1" ref="BP27" ca="1">IF($B27="","",IF(ISBLANK(INDIRECT("R9.Web!D"&amp;SUM(18,38*32,8))),"",INDIRECT("R9.Web!D"&amp;SUM(18,38*32,8))))</f>
        <v>N/A</v>
      </c>
      <c r="BQ27" s="215" t="str" cm="1">
        <f t="array" aca="1" ref="BQ27" ca="1">IF($B27="","",IF(ISBLANK(INDIRECT("R9.Web!D"&amp;SUM(18,38*33,8))),"",INDIRECT("R9.Web!D"&amp;SUM(18,38*33,8))))</f>
        <v>Pasa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Pasa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Pasa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N/A</v>
      </c>
      <c r="CE27" s="215" t="str" cm="1">
        <f t="array" aca="1" ref="CE27" ca="1">IF($B27="","",IF(ISBLANK(INDIRECT("R9.Web!D"&amp;SUM(18,38*47,8))),"",INDIRECT("R9.Web!D"&amp;SUM(18,38*47,8))))</f>
        <v>Falla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Pasa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N/A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N/A</v>
      </c>
      <c r="CR27" s="215" t="str" cm="1">
        <f t="array" aca="1" ref="CR27" ca="1">IF($B27="","",IF(ISBLANK(INDIRECT("R12.ServiciosApoyo!D"&amp;SUM(18,38*4,8))),"",INDIRECT("R12.ServiciosApoyo!D"&amp;SUM(18,38*4,8))))</f>
        <v>N/A</v>
      </c>
      <c r="CU27" s="100"/>
      <c r="CV27" s="29"/>
      <c r="CW27" s="29"/>
      <c r="CX27" s="29"/>
    </row>
    <row r="28" spans="2:102" ht="20.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Billetes y abonos (Metro)</v>
      </c>
      <c r="D28" s="98" t="str" cm="1">
        <f t="array" ref="D28">IFERROR(INDEX('03.Muestra'!$F$8:$F$42,SMALL(IF("Página Web"='03.Muestra'!$D$8:$D$42,ROW('03.Muestra'!$F$8:$F$42)-MIN(ROW('03.Muestra'!$D$8:$D$42))+1,""),ROW()-19)),"")</f>
        <v>https://www.crtm.es/billetes-y-tarifas/billetes-y-abonos/metro/?idPestana=1&amp;lang=#item10</v>
      </c>
      <c r="E28" s="215" t="str" cm="1">
        <f t="array" aca="1" ref="E28" ca="1">IF($B28="","",IF(ISBLANK(INDIRECT("R5.Genéricos!D"&amp;SUM(18,38*0,9))),"",INDIRECT("R5.Genéricos!D"&amp;SUM(18,38*0,9))))</f>
        <v>Pasa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Falla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Falla</v>
      </c>
      <c r="AP28" s="215" t="str" cm="1">
        <f t="array" aca="1" ref="AP28" ca="1">IF($B28="","",IF(ISBLANK(INDIRECT("R9.Web!D"&amp;SUM(18,38*6,9))),"",INDIRECT("R9.Web!D"&amp;SUM(18,38*6,9))))</f>
        <v>Falla</v>
      </c>
      <c r="AQ28" s="215" t="str" cm="1">
        <f t="array" aca="1" ref="AQ28" ca="1">IF($B28="","",IF(ISBLANK(INDIRECT("R9.Web!D"&amp;SUM(18,38*7,9))),"",INDIRECT("R9.Web!D"&amp;SUM(18,38*7,9))))</f>
        <v>Falla</v>
      </c>
      <c r="AR28" s="215" t="str" cm="1">
        <f t="array" aca="1" ref="AR28" ca="1">IF($B28="","",IF(ISBLANK(INDIRECT("R9.Web!D"&amp;SUM(18,38*8,9))),"",INDIRECT("R9.Web!D"&amp;SUM(18,38*8,9))))</f>
        <v>Pasa</v>
      </c>
      <c r="AS28" s="215" t="str" cm="1">
        <f t="array" aca="1" ref="AS28" ca="1">IF($B28="","",IF(ISBLANK(INDIRECT("R9.Web!D"&amp;SUM(18,38*9,9))),"",INDIRECT("R9.Web!D"&amp;SUM(18,38*9,9))))</f>
        <v>N/A</v>
      </c>
      <c r="AT28" s="215" t="str" cm="1">
        <f t="array" aca="1" ref="AT28" ca="1">IF($B28="","",IF(ISBLANK(INDIRECT("R9.Web!D"&amp;SUM(18,38*10,9))),"",INDIRECT("R9.Web!D"&amp;SUM(18,38*10,9))))</f>
        <v>Falla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Falla</v>
      </c>
      <c r="BB28" s="215" t="str" cm="1">
        <f t="array" aca="1" ref="BB28" ca="1">IF($B28="","",IF(ISBLANK(INDIRECT("R9.Web!D"&amp;SUM(18,38*18,9))),"",INDIRECT("R9.Web!D"&amp;SUM(18,38*18,9))))</f>
        <v>N/A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Falla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Falla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Falla</v>
      </c>
      <c r="BP28" s="215" t="str" cm="1">
        <f t="array" aca="1" ref="BP28" ca="1">IF($B28="","",IF(ISBLANK(INDIRECT("R9.Web!D"&amp;SUM(18,38*32,9))),"",INDIRECT("R9.Web!D"&amp;SUM(18,38*32,9))))</f>
        <v>N/A</v>
      </c>
      <c r="BQ28" s="215" t="str" cm="1">
        <f t="array" aca="1" ref="BQ28" ca="1">IF($B28="","",IF(ISBLANK(INDIRECT("R9.Web!D"&amp;SUM(18,38*33,9))),"",INDIRECT("R9.Web!D"&amp;SUM(18,38*33,9))))</f>
        <v>Pasa</v>
      </c>
      <c r="BR28" s="215" t="str" cm="1">
        <f t="array" aca="1" ref="BR28" ca="1">IF($B28="","",IF(ISBLANK(INDIRECT("R9.Web!D"&amp;SUM(18,38*34,9))),"",INDIRECT("R9.Web!D"&amp;SUM(18,38*34,9))))</f>
        <v>Falla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Pasa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Pasa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N/A</v>
      </c>
      <c r="CE28" s="215" t="str" cm="1">
        <f t="array" aca="1" ref="CE28" ca="1">IF($B28="","",IF(ISBLANK(INDIRECT("R9.Web!D"&amp;SUM(18,38*47,9))),"",INDIRECT("R9.Web!D"&amp;SUM(18,38*47,9))))</f>
        <v>Falla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Pasa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N/A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N/A</v>
      </c>
      <c r="CR28" s="215" t="str" cm="1">
        <f t="array" aca="1" ref="CR28" ca="1">IF($B28="","",IF(ISBLANK(INDIRECT("R12.ServiciosApoyo!D"&amp;SUM(18,38*4,9))),"",INDIRECT("R12.ServiciosApoyo!D"&amp;SUM(18,38*4,9))))</f>
        <v>N/A</v>
      </c>
      <c r="CU28" s="100"/>
      <c r="CV28" s="29"/>
      <c r="CW28" s="29"/>
      <c r="CX28" s="29"/>
    </row>
    <row r="29" spans="2:102" ht="20.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Billetes y tarifas (App)</v>
      </c>
      <c r="D29" s="98" t="str" cm="1">
        <f t="array" ref="D29">IFERROR(INDEX('03.Muestra'!$F$8:$F$42,SMALL(IF("Página Web"='03.Muestra'!$D$8:$D$42,ROW('03.Muestra'!$F$8:$F$42)-MIN(ROW('03.Muestra'!$D$8:$D$42))+1,""),ROW()-19)),"")</f>
        <v>https://www.crtm.es/billetes-y-tarifas/apps/</v>
      </c>
      <c r="E29" s="215" t="str" cm="1">
        <f t="array" aca="1" ref="E29" ca="1">IF($B29="","",IF(ISBLANK(INDIRECT("R5.Genéricos!D"&amp;SUM(18,38*0,10))),"",INDIRECT("R5.Genéricos!D"&amp;SUM(18,38*0,10))))</f>
        <v>Pasa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Falla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Falla</v>
      </c>
      <c r="AQ29" s="215" t="str" cm="1">
        <f t="array" aca="1" ref="AQ29" ca="1">IF($B29="","",IF(ISBLANK(INDIRECT("R9.Web!D"&amp;SUM(18,38*7,10))),"",INDIRECT("R9.Web!D"&amp;SUM(18,38*7,10))))</f>
        <v>Falla</v>
      </c>
      <c r="AR29" s="215" t="str" cm="1">
        <f t="array" aca="1" ref="AR29" ca="1">IF($B29="","",IF(ISBLANK(INDIRECT("R9.Web!D"&amp;SUM(18,38*8,10))),"",INDIRECT("R9.Web!D"&amp;SUM(18,38*8,10))))</f>
        <v>Pasa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Falla</v>
      </c>
      <c r="AY29" s="215" t="str" cm="1">
        <f t="array" aca="1" ref="AY29" ca="1">IF($B29="","",IF(ISBLANK(INDIRECT("R9.Web!D"&amp;SUM(18,38*15,10))),"",INDIRECT("R9.Web!D"&amp;SUM(18,38*15,10))))</f>
        <v>Falla</v>
      </c>
      <c r="AZ29" s="215" t="str" cm="1">
        <f t="array" aca="1" ref="AZ29" ca="1">IF($B29="","",IF(ISBLANK(INDIRECT("R9.Web!D"&amp;SUM(18,38*16,10))),"",INDIRECT("R9.Web!D"&amp;SUM(18,38*16,10))))</f>
        <v>Falla</v>
      </c>
      <c r="BA29" s="215" t="str" cm="1">
        <f t="array" aca="1" ref="BA29" ca="1">IF($B29="","",IF(ISBLANK(INDIRECT("R9.Web!D"&amp;SUM(18,38*17,10))),"",INDIRECT("R9.Web!D"&amp;SUM(18,38*17,10))))</f>
        <v>Falla</v>
      </c>
      <c r="BB29" s="215" t="str" cm="1">
        <f t="array" aca="1" ref="BB29" ca="1">IF($B29="","",IF(ISBLANK(INDIRECT("R9.Web!D"&amp;SUM(18,38*18,10))),"",INDIRECT("R9.Web!D"&amp;SUM(18,38*18,10))))</f>
        <v>N/A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Falla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Falla</v>
      </c>
      <c r="BL29" s="215" t="str" cm="1">
        <f t="array" aca="1" ref="BL29" ca="1">IF($B29="","",IF(ISBLANK(INDIRECT("R9.Web!D"&amp;SUM(18,38*28,10))),"",INDIRECT("R9.Web!D"&amp;SUM(18,38*28,10))))</f>
        <v>Falla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Pasa</v>
      </c>
      <c r="BR29" s="215" t="str" cm="1">
        <f t="array" aca="1" ref="BR29" ca="1">IF($B29="","",IF(ISBLANK(INDIRECT("R9.Web!D"&amp;SUM(18,38*34,10))),"",INDIRECT("R9.Web!D"&amp;SUM(18,38*34,10))))</f>
        <v>Falla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Pasa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N/A</v>
      </c>
      <c r="CE29" s="215" t="str" cm="1">
        <f t="array" aca="1" ref="CE29" ca="1">IF($B29="","",IF(ISBLANK(INDIRECT("R9.Web!D"&amp;SUM(18,38*47,10))),"",INDIRECT("R9.Web!D"&amp;SUM(18,38*47,10))))</f>
        <v>Falla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Pasa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N/A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N/A</v>
      </c>
      <c r="CR29" s="215" t="str" cm="1">
        <f t="array" aca="1" ref="CR29" ca="1">IF($B29="","",IF(ISBLANK(INDIRECT("R12.ServiciosApoyo!D"&amp;SUM(18,38*4,10))),"",INDIRECT("R12.ServiciosApoyo!D"&amp;SUM(18,38*4,10))))</f>
        <v>N/A</v>
      </c>
      <c r="CU29" s="100"/>
      <c r="CV29" s="29"/>
      <c r="CW29" s="29"/>
      <c r="CX29" s="29"/>
    </row>
    <row r="30" spans="2:102" ht="20.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Atención al cliente</v>
      </c>
      <c r="D30" s="98" t="str" cm="1">
        <f t="array" ref="D30">IFERROR(INDEX('03.Muestra'!$F$8:$F$42,SMALL(IF("Página Web"='03.Muestra'!$D$8:$D$42,ROW('03.Muestra'!$F$8:$F$42)-MIN(ROW('03.Muestra'!$D$8:$D$42))+1,""),ROW()-19)),"")</f>
        <v>https://www.crtm.es/atencion-al-cliente/</v>
      </c>
      <c r="E30" s="215" t="str" cm="1">
        <f t="array" aca="1" ref="E30" ca="1">IF($B30="","",IF(ISBLANK(INDIRECT("R5.Genéricos!D"&amp;SUM(18,38*0,11))),"",INDIRECT("R5.Genéricos!D"&amp;SUM(18,38*0,11))))</f>
        <v>Pasa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Falla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Falla</v>
      </c>
      <c r="AQ30" s="215" t="str" cm="1">
        <f t="array" aca="1" ref="AQ30" ca="1">IF($B30="","",IF(ISBLANK(INDIRECT("R9.Web!D"&amp;SUM(18,38*7,11))),"",INDIRECT("R9.Web!D"&amp;SUM(18,38*7,11))))</f>
        <v>Falla</v>
      </c>
      <c r="AR30" s="215" t="str" cm="1">
        <f t="array" aca="1" ref="AR30" ca="1">IF($B30="","",IF(ISBLANK(INDIRECT("R9.Web!D"&amp;SUM(18,38*8,11))),"",INDIRECT("R9.Web!D"&amp;SUM(18,38*8,11))))</f>
        <v>Pasa</v>
      </c>
      <c r="AS30" s="215" t="str" cm="1">
        <f t="array" aca="1" ref="AS30" ca="1">IF($B30="","",IF(ISBLANK(INDIRECT("R9.Web!D"&amp;SUM(18,38*9,11))),"",INDIRECT("R9.Web!D"&amp;SUM(18,38*9,11))))</f>
        <v>N/A</v>
      </c>
      <c r="AT30" s="215" t="str" cm="1">
        <f t="array" aca="1" ref="AT30" ca="1">IF($B30="","",IF(ISBLANK(INDIRECT("R9.Web!D"&amp;SUM(18,38*10,11))),"",INDIRECT("R9.Web!D"&amp;SUM(18,38*10,11))))</f>
        <v>Falla</v>
      </c>
      <c r="AU30" s="215" t="str" cm="1">
        <f t="array" aca="1" ref="AU30" ca="1">IF($B30="","",IF(ISBLANK(INDIRECT("R9.Web!D"&amp;SUM(18,38*11,11))),"",INDIRECT("R9.Web!D"&amp;SUM(18,38*11,11))))</f>
        <v>N/A</v>
      </c>
      <c r="AV30" s="215" t="str" cm="1">
        <f t="array" aca="1" ref="AV30" ca="1">IF($B30="","",IF(ISBLANK(INDIRECT("R9.Web!D"&amp;SUM(18,38*12,11))),"",INDIRECT("R9.Web!D"&amp;SUM(18,38*12,11))))</f>
        <v>Falla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Falla</v>
      </c>
      <c r="AZ30" s="215" t="str" cm="1">
        <f t="array" aca="1" ref="AZ30" ca="1">IF($B30="","",IF(ISBLANK(INDIRECT("R9.Web!D"&amp;SUM(18,38*16,11))),"",INDIRECT("R9.Web!D"&amp;SUM(18,38*16,11))))</f>
        <v>Falla</v>
      </c>
      <c r="BA30" s="215" t="str" cm="1">
        <f t="array" aca="1" ref="BA30" ca="1">IF($B30="","",IF(ISBLANK(INDIRECT("R9.Web!D"&amp;SUM(18,38*17,11))),"",INDIRECT("R9.Web!D"&amp;SUM(18,38*17,11))))</f>
        <v>Falla</v>
      </c>
      <c r="BB30" s="215" t="str" cm="1">
        <f t="array" aca="1" ref="BB30" ca="1">IF($B30="","",IF(ISBLANK(INDIRECT("R9.Web!D"&amp;SUM(18,38*18,11))),"",INDIRECT("R9.Web!D"&amp;SUM(18,38*18,11))))</f>
        <v>N/A</v>
      </c>
      <c r="BC30" s="215" t="str" cm="1">
        <f t="array" aca="1" ref="BC30" ca="1">IF($B30="","",IF(ISBLANK(INDIRECT("R9.Web!D"&amp;SUM(18,38*19,11))),"",INDIRECT("R9.Web!D"&amp;SUM(18,38*19,11))))</f>
        <v>Falla</v>
      </c>
      <c r="BD30" s="215" t="str" cm="1">
        <f t="array" aca="1" ref="BD30" ca="1">IF($B30="","",IF(ISBLANK(INDIRECT("R9.Web!D"&amp;SUM(18,38*20,11))),"",INDIRECT("R9.Web!D"&amp;SUM(18,38*20,11))))</f>
        <v>Pasa</v>
      </c>
      <c r="BE30" s="215" t="str" cm="1">
        <f t="array" aca="1" ref="BE30" ca="1">IF($B30="","",IF(ISBLANK(INDIRECT("R9.Web!D"&amp;SUM(18,38*21,11))),"",INDIRECT("R9.Web!D"&amp;SUM(18,38*21,11))))</f>
        <v>Falla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Pasa</v>
      </c>
      <c r="BJ30" s="215" t="str" cm="1">
        <f t="array" aca="1" ref="BJ30" ca="1">IF($B30="","",IF(ISBLANK(INDIRECT("R9.Web!D"&amp;SUM(18,38*26,11))),"",INDIRECT("R9.Web!D"&amp;SUM(18,38*26,11))))</f>
        <v>Pasa</v>
      </c>
      <c r="BK30" s="215" t="str" cm="1">
        <f t="array" aca="1" ref="BK30" ca="1">IF($B30="","",IF(ISBLANK(INDIRECT("R9.Web!D"&amp;SUM(18,38*27,11))),"",INDIRECT("R9.Web!D"&amp;SUM(18,38*27,11))))</f>
        <v>Falla</v>
      </c>
      <c r="BL30" s="215" t="str" cm="1">
        <f t="array" aca="1" ref="BL30" ca="1">IF($B30="","",IF(ISBLANK(INDIRECT("R9.Web!D"&amp;SUM(18,38*28,11))),"",INDIRECT("R9.Web!D"&amp;SUM(18,38*28,11))))</f>
        <v>Falla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Pasa</v>
      </c>
      <c r="BR30" s="215" t="str" cm="1">
        <f t="array" aca="1" ref="BR30" ca="1">IF($B30="","",IF(ISBLANK(INDIRECT("R9.Web!D"&amp;SUM(18,38*34,11))),"",INDIRECT("R9.Web!D"&amp;SUM(18,38*34,11))))</f>
        <v>Falla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Pasa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Pasa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N/A</v>
      </c>
      <c r="CE30" s="215" t="str" cm="1">
        <f t="array" aca="1" ref="CE30" ca="1">IF($B30="","",IF(ISBLANK(INDIRECT("R9.Web!D"&amp;SUM(18,38*47,11))),"",INDIRECT("R9.Web!D"&amp;SUM(18,38*47,11))))</f>
        <v>Falla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Pasa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N/A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N/A</v>
      </c>
      <c r="CR30" s="215" t="str" cm="1">
        <f t="array" aca="1" ref="CR30" ca="1">IF($B30="","",IF(ISBLANK(INDIRECT("R12.ServiciosApoyo!D"&amp;SUM(18,38*4,11))),"",INDIRECT("R12.ServiciosApoyo!D"&amp;SUM(18,38*4,11))))</f>
        <v>N/A</v>
      </c>
      <c r="CU30" s="100"/>
      <c r="CV30" s="101"/>
      <c r="CW30" s="29"/>
      <c r="CX30" s="29"/>
    </row>
    <row r="31" spans="2:102" ht="20.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Conócenos</v>
      </c>
      <c r="D31" s="98" t="str" cm="1">
        <f t="array" ref="D31">IFERROR(INDEX('03.Muestra'!$F$8:$F$42,SMALL(IF("Página Web"='03.Muestra'!$D$8:$D$42,ROW('03.Muestra'!$F$8:$F$42)-MIN(ROW('03.Muestra'!$D$8:$D$42))+1,""),ROW()-19)),"")</f>
        <v>https://www.crtm.es/conocenos/#CentrodeDocumentacion</v>
      </c>
      <c r="E31" s="215" t="str" cm="1">
        <f t="array" aca="1" ref="E31" ca="1">IF($B31="","",IF(ISBLANK(INDIRECT("R5.Genéricos!D"&amp;SUM(18,38*0,12))),"",INDIRECT("R5.Genéricos!D"&amp;SUM(18,38*0,12))))</f>
        <v>Pasa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Falla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Falla</v>
      </c>
      <c r="AQ31" s="215" t="str" cm="1">
        <f t="array" aca="1" ref="AQ31" ca="1">IF($B31="","",IF(ISBLANK(INDIRECT("R9.Web!D"&amp;SUM(18,38*7,12))),"",INDIRECT("R9.Web!D"&amp;SUM(18,38*7,12))))</f>
        <v>Falla</v>
      </c>
      <c r="AR31" s="215" t="str" cm="1">
        <f t="array" aca="1" ref="AR31" ca="1">IF($B31="","",IF(ISBLANK(INDIRECT("R9.Web!D"&amp;SUM(18,38*8,12))),"",INDIRECT("R9.Web!D"&amp;SUM(18,38*8,12))))</f>
        <v>Pasa</v>
      </c>
      <c r="AS31" s="215" t="str" cm="1">
        <f t="array" aca="1" ref="AS31" ca="1">IF($B31="","",IF(ISBLANK(INDIRECT("R9.Web!D"&amp;SUM(18,38*9,12))),"",INDIRECT("R9.Web!D"&amp;SUM(18,38*9,12))))</f>
        <v>N/A</v>
      </c>
      <c r="AT31" s="215" t="str" cm="1">
        <f t="array" aca="1" ref="AT31" ca="1">IF($B31="","",IF(ISBLANK(INDIRECT("R9.Web!D"&amp;SUM(18,38*10,12))),"",INDIRECT("R9.Web!D"&amp;SUM(18,38*10,12))))</f>
        <v>Falla</v>
      </c>
      <c r="AU31" s="215" t="str" cm="1">
        <f t="array" aca="1" ref="AU31" ca="1">IF($B31="","",IF(ISBLANK(INDIRECT("R9.Web!D"&amp;SUM(18,38*11,12))),"",INDIRECT("R9.Web!D"&amp;SUM(18,38*11,12))))</f>
        <v>N/A</v>
      </c>
      <c r="AV31" s="215" t="str" cm="1">
        <f t="array" aca="1" ref="AV31" ca="1">IF($B31="","",IF(ISBLANK(INDIRECT("R9.Web!D"&amp;SUM(18,38*12,12))),"",INDIRECT("R9.Web!D"&amp;SUM(18,38*12,12))))</f>
        <v>Falla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Falla</v>
      </c>
      <c r="AZ31" s="215" t="str" cm="1">
        <f t="array" aca="1" ref="AZ31" ca="1">IF($B31="","",IF(ISBLANK(INDIRECT("R9.Web!D"&amp;SUM(18,38*16,12))),"",INDIRECT("R9.Web!D"&amp;SUM(18,38*16,12))))</f>
        <v>Falla</v>
      </c>
      <c r="BA31" s="215" t="str" cm="1">
        <f t="array" aca="1" ref="BA31" ca="1">IF($B31="","",IF(ISBLANK(INDIRECT("R9.Web!D"&amp;SUM(18,38*17,12))),"",INDIRECT("R9.Web!D"&amp;SUM(18,38*17,12))))</f>
        <v>Falla</v>
      </c>
      <c r="BB31" s="215" t="str" cm="1">
        <f t="array" aca="1" ref="BB31" ca="1">IF($B31="","",IF(ISBLANK(INDIRECT("R9.Web!D"&amp;SUM(18,38*18,12))),"",INDIRECT("R9.Web!D"&amp;SUM(18,38*18,12))))</f>
        <v>N/A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Falla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Pasa</v>
      </c>
      <c r="BJ31" s="215" t="str" cm="1">
        <f t="array" aca="1" ref="BJ31" ca="1">IF($B31="","",IF(ISBLANK(INDIRECT("R9.Web!D"&amp;SUM(18,38*26,12))),"",INDIRECT("R9.Web!D"&amp;SUM(18,38*26,12))))</f>
        <v>Pasa</v>
      </c>
      <c r="BK31" s="215" t="str" cm="1">
        <f t="array" aca="1" ref="BK31" ca="1">IF($B31="","",IF(ISBLANK(INDIRECT("R9.Web!D"&amp;SUM(18,38*27,12))),"",INDIRECT("R9.Web!D"&amp;SUM(18,38*27,12))))</f>
        <v>Falla</v>
      </c>
      <c r="BL31" s="215" t="str" cm="1">
        <f t="array" aca="1" ref="BL31" ca="1">IF($B31="","",IF(ISBLANK(INDIRECT("R9.Web!D"&amp;SUM(18,38*28,12))),"",INDIRECT("R9.Web!D"&amp;SUM(18,38*28,12))))</f>
        <v>Falla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Pasa</v>
      </c>
      <c r="BR31" s="215" t="str" cm="1">
        <f t="array" aca="1" ref="BR31" ca="1">IF($B31="","",IF(ISBLANK(INDIRECT("R9.Web!D"&amp;SUM(18,38*34,12))),"",INDIRECT("R9.Web!D"&amp;SUM(18,38*34,12))))</f>
        <v>Falla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Pasa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Pasa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N/A</v>
      </c>
      <c r="CE31" s="215" t="str" cm="1">
        <f t="array" aca="1" ref="CE31" ca="1">IF($B31="","",IF(ISBLANK(INDIRECT("R9.Web!D"&amp;SUM(18,38*47,12))),"",INDIRECT("R9.Web!D"&amp;SUM(18,38*47,12))))</f>
        <v>Falla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Pasa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N/A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N/A</v>
      </c>
      <c r="CR31" s="215" t="str" cm="1">
        <f t="array" aca="1" ref="CR31" ca="1">IF($B31="","",IF(ISBLANK(INDIRECT("R12.ServiciosApoyo!D"&amp;SUM(18,38*4,12))),"",INDIRECT("R12.ServiciosApoyo!D"&amp;SUM(18,38*4,12))))</f>
        <v>N/A</v>
      </c>
      <c r="CU31" s="100"/>
      <c r="CV31" s="29"/>
      <c r="CW31" s="29"/>
      <c r="CX31" s="29"/>
    </row>
    <row r="32" spans="2:102" ht="20.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Actualidad del servicio</v>
      </c>
      <c r="D32" s="98" t="str" cm="1">
        <f t="array" ref="D32">IFERROR(INDEX('03.Muestra'!$F$8:$F$42,SMALL(IF("Página Web"='03.Muestra'!$D$8:$D$42,ROW('03.Muestra'!$F$8:$F$42)-MIN(ROW('03.Muestra'!$D$8:$D$42))+1,""),ROW()-19)),"")</f>
        <v>https://www.crtm.es/comunicacion/actualidad-del-servicio/?idPestana=1&amp;lang=es</v>
      </c>
      <c r="E32" s="215" t="str" cm="1">
        <f t="array" aca="1" ref="E32" ca="1">IF($B32="","",IF(ISBLANK(INDIRECT("R5.Genéricos!D"&amp;SUM(18,38*0,13))),"",INDIRECT("R5.Genéricos!D"&amp;SUM(18,38*0,13))))</f>
        <v>Pasa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Falla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Falla</v>
      </c>
      <c r="AP32" s="215" t="str" cm="1">
        <f t="array" aca="1" ref="AP32" ca="1">IF($B32="","",IF(ISBLANK(INDIRECT("R9.Web!D"&amp;SUM(18,38*6,13))),"",INDIRECT("R9.Web!D"&amp;SUM(18,38*6,13))))</f>
        <v>Falla</v>
      </c>
      <c r="AQ32" s="215" t="str" cm="1">
        <f t="array" aca="1" ref="AQ32" ca="1">IF($B32="","",IF(ISBLANK(INDIRECT("R9.Web!D"&amp;SUM(18,38*7,13))),"",INDIRECT("R9.Web!D"&amp;SUM(18,38*7,13))))</f>
        <v>Falla</v>
      </c>
      <c r="AR32" s="215" t="str" cm="1">
        <f t="array" aca="1" ref="AR32" ca="1">IF($B32="","",IF(ISBLANK(INDIRECT("R9.Web!D"&amp;SUM(18,38*8,13))),"",INDIRECT("R9.Web!D"&amp;SUM(18,38*8,13))))</f>
        <v>Pasa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Falla</v>
      </c>
      <c r="AZ32" s="215" t="str" cm="1">
        <f t="array" aca="1" ref="AZ32" ca="1">IF($B32="","",IF(ISBLANK(INDIRECT("R9.Web!D"&amp;SUM(18,38*16,13))),"",INDIRECT("R9.Web!D"&amp;SUM(18,38*16,13))))</f>
        <v>Falla</v>
      </c>
      <c r="BA32" s="215" t="str" cm="1">
        <f t="array" aca="1" ref="BA32" ca="1">IF($B32="","",IF(ISBLANK(INDIRECT("R9.Web!D"&amp;SUM(18,38*17,13))),"",INDIRECT("R9.Web!D"&amp;SUM(18,38*17,13))))</f>
        <v>Falla</v>
      </c>
      <c r="BB32" s="215" t="str" cm="1">
        <f t="array" aca="1" ref="BB32" ca="1">IF($B32="","",IF(ISBLANK(INDIRECT("R9.Web!D"&amp;SUM(18,38*18,13))),"",INDIRECT("R9.Web!D"&amp;SUM(18,38*18,13))))</f>
        <v>N/A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Falla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Pasa</v>
      </c>
      <c r="BJ32" s="215" t="str" cm="1">
        <f t="array" aca="1" ref="BJ32" ca="1">IF($B32="","",IF(ISBLANK(INDIRECT("R9.Web!D"&amp;SUM(18,38*26,13))),"",INDIRECT("R9.Web!D"&amp;SUM(18,38*26,13))))</f>
        <v>Pasa</v>
      </c>
      <c r="BK32" s="215" t="str" cm="1">
        <f t="array" aca="1" ref="BK32" ca="1">IF($B32="","",IF(ISBLANK(INDIRECT("R9.Web!D"&amp;SUM(18,38*27,13))),"",INDIRECT("R9.Web!D"&amp;SUM(18,38*27,13))))</f>
        <v>Falla</v>
      </c>
      <c r="BL32" s="215" t="str" cm="1">
        <f t="array" aca="1" ref="BL32" ca="1">IF($B32="","",IF(ISBLANK(INDIRECT("R9.Web!D"&amp;SUM(18,38*28,13))),"",INDIRECT("R9.Web!D"&amp;SUM(18,38*28,13))))</f>
        <v>Falla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Pasa</v>
      </c>
      <c r="BR32" s="215" t="str" cm="1">
        <f t="array" aca="1" ref="BR32" ca="1">IF($B32="","",IF(ISBLANK(INDIRECT("R9.Web!D"&amp;SUM(18,38*34,13))),"",INDIRECT("R9.Web!D"&amp;SUM(18,38*34,13))))</f>
        <v>Falla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Pasa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Falla</v>
      </c>
      <c r="CA32" s="215" t="str" cm="1">
        <f t="array" aca="1" ref="CA32" ca="1">IF($B32="","",IF(ISBLANK(INDIRECT("R9.Web!D"&amp;SUM(18,38*43,13))),"",INDIRECT("R9.Web!D"&amp;SUM(18,38*43,13))))</f>
        <v>Pasa</v>
      </c>
      <c r="CB32" s="215" t="str" cm="1">
        <f t="array" aca="1" ref="CB32" ca="1">IF($B32="","",IF(ISBLANK(INDIRECT("R9.Web!D"&amp;SUM(18,38*44,13))),"",INDIRECT("R9.Web!D"&amp;SUM(18,38*44,13))))</f>
        <v>Falla</v>
      </c>
      <c r="CC32" s="215" t="str" cm="1">
        <f t="array" aca="1" ref="CC32" ca="1">IF($B32="","",IF(ISBLANK(INDIRECT("R9.Web!D"&amp;SUM(18,38*45,13))),"",INDIRECT("R9.Web!D"&amp;SUM(18,38*45,13))))</f>
        <v>N/A</v>
      </c>
      <c r="CD32" s="215" t="str" cm="1">
        <f t="array" aca="1" ref="CD32" ca="1">IF($B32="","",IF(ISBLANK(INDIRECT("R9.Web!D"&amp;SUM(18,38*46,13))),"",INDIRECT("R9.Web!D"&amp;SUM(18,38*46,13))))</f>
        <v>N/A</v>
      </c>
      <c r="CE32" s="215" t="str" cm="1">
        <f t="array" aca="1" ref="CE32" ca="1">IF($B32="","",IF(ISBLANK(INDIRECT("R9.Web!D"&amp;SUM(18,38*47,13))),"",INDIRECT("R9.Web!D"&amp;SUM(18,38*47,13))))</f>
        <v>Falla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Pasa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N/A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N/A</v>
      </c>
      <c r="CR32" s="215" t="str" cm="1">
        <f t="array" aca="1" ref="CR32" ca="1">IF($B32="","",IF(ISBLANK(INDIRECT("R12.ServiciosApoyo!D"&amp;SUM(18,38*4,13))),"",INDIRECT("R12.ServiciosApoyo!D"&amp;SUM(18,38*4,13))))</f>
        <v>N/A</v>
      </c>
      <c r="CU32" s="100"/>
      <c r="CV32" s="29"/>
      <c r="CW32" s="29"/>
      <c r="CX32" s="29"/>
    </row>
    <row r="33" spans="2:102" ht="20.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Galería de fotos</v>
      </c>
      <c r="D33" s="98" t="str" cm="1">
        <f t="array" ref="D33">IFERROR(INDEX('03.Muestra'!$F$8:$F$42,SMALL(IF("Página Web"='03.Muestra'!$D$8:$D$42,ROW('03.Muestra'!$F$8:$F$42)-MIN(ROW('03.Muestra'!$D$8:$D$42))+1,""),ROW()-19)),"")</f>
        <v>https://www.crtm.es/comunicacion/multimedia/galeria-de-fotos/</v>
      </c>
      <c r="E33" s="215" t="str" cm="1">
        <f t="array" aca="1" ref="E33" ca="1">IF($B33="","",IF(ISBLANK(INDIRECT("R5.Genéricos!D"&amp;SUM(18,38*0,14))),"",INDIRECT("R5.Genéricos!D"&amp;SUM(18,38*0,14))))</f>
        <v>Pasa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Falla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Falla</v>
      </c>
      <c r="AQ33" s="215" t="str" cm="1">
        <f t="array" aca="1" ref="AQ33" ca="1">IF($B33="","",IF(ISBLANK(INDIRECT("R9.Web!D"&amp;SUM(18,38*7,14))),"",INDIRECT("R9.Web!D"&amp;SUM(18,38*7,14))))</f>
        <v>Falla</v>
      </c>
      <c r="AR33" s="215" t="str" cm="1">
        <f t="array" aca="1" ref="AR33" ca="1">IF($B33="","",IF(ISBLANK(INDIRECT("R9.Web!D"&amp;SUM(18,38*8,14))),"",INDIRECT("R9.Web!D"&amp;SUM(18,38*8,14))))</f>
        <v>Pasa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Falla</v>
      </c>
      <c r="AZ33" s="215" t="str" cm="1">
        <f t="array" aca="1" ref="AZ33" ca="1">IF($B33="","",IF(ISBLANK(INDIRECT("R9.Web!D"&amp;SUM(18,38*16,14))),"",INDIRECT("R9.Web!D"&amp;SUM(18,38*16,14))))</f>
        <v>Falla</v>
      </c>
      <c r="BA33" s="215" t="str" cm="1">
        <f t="array" aca="1" ref="BA33" ca="1">IF($B33="","",IF(ISBLANK(INDIRECT("R9.Web!D"&amp;SUM(18,38*17,14))),"",INDIRECT("R9.Web!D"&amp;SUM(18,38*17,14))))</f>
        <v>Falla</v>
      </c>
      <c r="BB33" s="215" t="str" cm="1">
        <f t="array" aca="1" ref="BB33" ca="1">IF($B33="","",IF(ISBLANK(INDIRECT("R9.Web!D"&amp;SUM(18,38*18,14))),"",INDIRECT("R9.Web!D"&amp;SUM(18,38*18,14))))</f>
        <v>N/A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Falla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Pasa</v>
      </c>
      <c r="BJ33" s="215" t="str" cm="1">
        <f t="array" aca="1" ref="BJ33" ca="1">IF($B33="","",IF(ISBLANK(INDIRECT("R9.Web!D"&amp;SUM(18,38*26,14))),"",INDIRECT("R9.Web!D"&amp;SUM(18,38*26,14))))</f>
        <v>Pasa</v>
      </c>
      <c r="BK33" s="215" t="str" cm="1">
        <f t="array" aca="1" ref="BK33" ca="1">IF($B33="","",IF(ISBLANK(INDIRECT("R9.Web!D"&amp;SUM(18,38*27,14))),"",INDIRECT("R9.Web!D"&amp;SUM(18,38*27,14))))</f>
        <v>Falla</v>
      </c>
      <c r="BL33" s="215" t="str" cm="1">
        <f t="array" aca="1" ref="BL33" ca="1">IF($B33="","",IF(ISBLANK(INDIRECT("R9.Web!D"&amp;SUM(18,38*28,14))),"",INDIRECT("R9.Web!D"&amp;SUM(18,38*28,14))))</f>
        <v>Falla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Pasa</v>
      </c>
      <c r="BR33" s="215" t="str" cm="1">
        <f t="array" aca="1" ref="BR33" ca="1">IF($B33="","",IF(ISBLANK(INDIRECT("R9.Web!D"&amp;SUM(18,38*34,14))),"",INDIRECT("R9.Web!D"&amp;SUM(18,38*34,14))))</f>
        <v>Falla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Pasa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N/A</v>
      </c>
      <c r="CE33" s="215" t="str" cm="1">
        <f t="array" aca="1" ref="CE33" ca="1">IF($B33="","",IF(ISBLANK(INDIRECT("R9.Web!D"&amp;SUM(18,38*47,14))),"",INDIRECT("R9.Web!D"&amp;SUM(18,38*47,14))))</f>
        <v>Falla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Pasa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N/A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N/A</v>
      </c>
      <c r="CR33" s="215" t="str" cm="1">
        <f t="array" aca="1" ref="CR33" ca="1">IF($B33="","",IF(ISBLANK(INDIRECT("R12.ServiciosApoyo!D"&amp;SUM(18,38*4,14))),"",INDIRECT("R12.ServiciosApoyo!D"&amp;SUM(18,38*4,14))))</f>
        <v>N/A</v>
      </c>
      <c r="CU33" s="100"/>
      <c r="CV33" s="29"/>
      <c r="CW33" s="29"/>
      <c r="CX33" s="29"/>
    </row>
    <row r="34" spans="2:102" ht="20.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Mapa web</v>
      </c>
      <c r="D34" s="98" t="str" cm="1">
        <f t="array" ref="D34">IFERROR(INDEX('03.Muestra'!$F$8:$F$42,SMALL(IF("Página Web"='03.Muestra'!$D$8:$D$42,ROW('03.Muestra'!$F$8:$F$42)-MIN(ROW('03.Muestra'!$D$8:$D$42))+1,""),ROW()-19)),"")</f>
        <v>https://www.crtm.es/mapa-web</v>
      </c>
      <c r="E34" s="215" t="str" cm="1">
        <f t="array" aca="1" ref="E34" ca="1">IF($B34="","",IF(ISBLANK(INDIRECT("R5.Genéricos!D"&amp;SUM(18,38*0,15))),"",INDIRECT("R5.Genéricos!D"&amp;SUM(18,38*0,15))))</f>
        <v>Pasa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Falla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Falla</v>
      </c>
      <c r="AP34" s="215" t="str" cm="1">
        <f t="array" aca="1" ref="AP34" ca="1">IF($B34="","",IF(ISBLANK(INDIRECT("R9.Web!D"&amp;SUM(18,38*6,15))),"",INDIRECT("R9.Web!D"&amp;SUM(18,38*6,15))))</f>
        <v>Falla</v>
      </c>
      <c r="AQ34" s="215" t="str" cm="1">
        <f t="array" aca="1" ref="AQ34" ca="1">IF($B34="","",IF(ISBLANK(INDIRECT("R9.Web!D"&amp;SUM(18,38*7,15))),"",INDIRECT("R9.Web!D"&amp;SUM(18,38*7,15))))</f>
        <v>Falla</v>
      </c>
      <c r="AR34" s="215" t="str" cm="1">
        <f t="array" aca="1" ref="AR34" ca="1">IF($B34="","",IF(ISBLANK(INDIRECT("R9.Web!D"&amp;SUM(18,38*8,15))),"",INDIRECT("R9.Web!D"&amp;SUM(18,38*8,15))))</f>
        <v>Pasa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Falla</v>
      </c>
      <c r="AZ34" s="215" t="str" cm="1">
        <f t="array" aca="1" ref="AZ34" ca="1">IF($B34="","",IF(ISBLANK(INDIRECT("R9.Web!D"&amp;SUM(18,38*16,15))),"",INDIRECT("R9.Web!D"&amp;SUM(18,38*16,15))))</f>
        <v>Falla</v>
      </c>
      <c r="BA34" s="215" t="str" cm="1">
        <f t="array" aca="1" ref="BA34" ca="1">IF($B34="","",IF(ISBLANK(INDIRECT("R9.Web!D"&amp;SUM(18,38*17,15))),"",INDIRECT("R9.Web!D"&amp;SUM(18,38*17,15))))</f>
        <v>Falla</v>
      </c>
      <c r="BB34" s="215" t="str" cm="1">
        <f t="array" aca="1" ref="BB34" ca="1">IF($B34="","",IF(ISBLANK(INDIRECT("R9.Web!D"&amp;SUM(18,38*18,15))),"",INDIRECT("R9.Web!D"&amp;SUM(18,38*18,15))))</f>
        <v>N/A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Falla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Pasa</v>
      </c>
      <c r="BJ34" s="215" t="str" cm="1">
        <f t="array" aca="1" ref="BJ34" ca="1">IF($B34="","",IF(ISBLANK(INDIRECT("R9.Web!D"&amp;SUM(18,38*26,15))),"",INDIRECT("R9.Web!D"&amp;SUM(18,38*26,15))))</f>
        <v>Pasa</v>
      </c>
      <c r="BK34" s="215" t="str" cm="1">
        <f t="array" aca="1" ref="BK34" ca="1">IF($B34="","",IF(ISBLANK(INDIRECT("R9.Web!D"&amp;SUM(18,38*27,15))),"",INDIRECT("R9.Web!D"&amp;SUM(18,38*27,15))))</f>
        <v>Falla</v>
      </c>
      <c r="BL34" s="215" t="str" cm="1">
        <f t="array" aca="1" ref="BL34" ca="1">IF($B34="","",IF(ISBLANK(INDIRECT("R9.Web!D"&amp;SUM(18,38*28,15))),"",INDIRECT("R9.Web!D"&amp;SUM(18,38*28,15))))</f>
        <v>Falla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Pasa</v>
      </c>
      <c r="BR34" s="215" t="str" cm="1">
        <f t="array" aca="1" ref="BR34" ca="1">IF($B34="","",IF(ISBLANK(INDIRECT("R9.Web!D"&amp;SUM(18,38*34,15))),"",INDIRECT("R9.Web!D"&amp;SUM(18,38*34,15))))</f>
        <v>Falla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Pasa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Pasa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N/A</v>
      </c>
      <c r="CE34" s="215" t="str" cm="1">
        <f t="array" aca="1" ref="CE34" ca="1">IF($B34="","",IF(ISBLANK(INDIRECT("R9.Web!D"&amp;SUM(18,38*47,15))),"",INDIRECT("R9.Web!D"&amp;SUM(18,38*47,15))))</f>
        <v>Falla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Pasa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N/A</v>
      </c>
      <c r="CP34" s="215" t="str" cm="1">
        <f t="array" aca="1" ref="CP34" ca="1">IF($B34="","",IF(ISBLANK(INDIRECT("R12.ServiciosApoyo!D"&amp;SUM(18,38*2,15))),"",INDIRECT("R12.ServiciosApoyo!D"&amp;SUM(18,38*2,15))))</f>
        <v>N/A</v>
      </c>
      <c r="CQ34" s="215" t="str" cm="1">
        <f t="array" aca="1" ref="CQ34" ca="1">IF($B34="","",IF(ISBLANK(INDIRECT("R12.ServiciosApoyo!D"&amp;SUM(18,38*3,15))),"",INDIRECT("R12.ServiciosApoyo!D"&amp;SUM(18,38*3,15))))</f>
        <v>N/A</v>
      </c>
      <c r="CR34" s="215" t="str" cm="1">
        <f t="array" aca="1" ref="CR34" ca="1">IF($B34="","",IF(ISBLANK(INDIRECT("R12.ServiciosApoyo!D"&amp;SUM(18,38*4,15))),"",INDIRECT("R12.ServiciosApoyo!D"&amp;SUM(18,38*4,15))))</f>
        <v>N/A</v>
      </c>
      <c r="CU34" s="100"/>
      <c r="CV34" s="29"/>
      <c r="CW34" s="29"/>
      <c r="CX34" s="29"/>
    </row>
    <row r="35" spans="2:102" ht="20.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Protección de datos</v>
      </c>
      <c r="D35" s="98" t="str" cm="1">
        <f t="array" ref="D35">IFERROR(INDEX('03.Muestra'!$F$8:$F$42,SMALL(IF("Página Web"='03.Muestra'!$D$8:$D$42,ROW('03.Muestra'!$F$8:$F$42)-MIN(ROW('03.Muestra'!$D$8:$D$42))+1,""),ROW()-19)),"")</f>
        <v>https://www.crtm.es/proteccion-de-datos</v>
      </c>
      <c r="E35" s="215" t="str" cm="1">
        <f t="array" aca="1" ref="E35" ca="1">IF($B35="","",IF(ISBLANK(INDIRECT("R5.Genéricos!D"&amp;SUM(18,38*0,16))),"",INDIRECT("R5.Genéricos!D"&amp;SUM(18,38*0,16))))</f>
        <v>Pasa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Falla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Falla</v>
      </c>
      <c r="AQ35" s="215" t="str" cm="1">
        <f t="array" aca="1" ref="AQ35" ca="1">IF($B35="","",IF(ISBLANK(INDIRECT("R9.Web!D"&amp;SUM(18,38*7,16))),"",INDIRECT("R9.Web!D"&amp;SUM(18,38*7,16))))</f>
        <v>Falla</v>
      </c>
      <c r="AR35" s="215" t="str" cm="1">
        <f t="array" aca="1" ref="AR35" ca="1">IF($B35="","",IF(ISBLANK(INDIRECT("R9.Web!D"&amp;SUM(18,38*8,16))),"",INDIRECT("R9.Web!D"&amp;SUM(18,38*8,16))))</f>
        <v>Pasa</v>
      </c>
      <c r="AS35" s="215" t="str" cm="1">
        <f t="array" aca="1" ref="AS35" ca="1">IF($B35="","",IF(ISBLANK(INDIRECT("R9.Web!D"&amp;SUM(18,38*9,16))),"",INDIRECT("R9.Web!D"&amp;SUM(18,38*9,16))))</f>
        <v>N/A</v>
      </c>
      <c r="AT35" s="215" t="str" cm="1">
        <f t="array" aca="1" ref="AT35" ca="1">IF($B35="","",IF(ISBLANK(INDIRECT("R9.Web!D"&amp;SUM(18,38*10,16))),"",INDIRECT("R9.Web!D"&amp;SUM(18,38*10,16))))</f>
        <v>Falla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Falla</v>
      </c>
      <c r="AZ35" s="215" t="str" cm="1">
        <f t="array" aca="1" ref="AZ35" ca="1">IF($B35="","",IF(ISBLANK(INDIRECT("R9.Web!D"&amp;SUM(18,38*16,16))),"",INDIRECT("R9.Web!D"&amp;SUM(18,38*16,16))))</f>
        <v>Falla</v>
      </c>
      <c r="BA35" s="215" t="str" cm="1">
        <f t="array" aca="1" ref="BA35" ca="1">IF($B35="","",IF(ISBLANK(INDIRECT("R9.Web!D"&amp;SUM(18,38*17,16))),"",INDIRECT("R9.Web!D"&amp;SUM(18,38*17,16))))</f>
        <v>Falla</v>
      </c>
      <c r="BB35" s="215" t="str" cm="1">
        <f t="array" aca="1" ref="BB35" ca="1">IF($B35="","",IF(ISBLANK(INDIRECT("R9.Web!D"&amp;SUM(18,38*18,16))),"",INDIRECT("R9.Web!D"&amp;SUM(18,38*18,16))))</f>
        <v>N/A</v>
      </c>
      <c r="BC35" s="215" t="str" cm="1">
        <f t="array" aca="1" ref="BC35" ca="1">IF($B35="","",IF(ISBLANK(INDIRECT("R9.Web!D"&amp;SUM(18,38*19,16))),"",INDIRECT("R9.Web!D"&amp;SUM(18,38*19,16))))</f>
        <v>Pasa</v>
      </c>
      <c r="BD35" s="215" t="str" cm="1">
        <f t="array" aca="1" ref="BD35" ca="1">IF($B35="","",IF(ISBLANK(INDIRECT("R9.Web!D"&amp;SUM(18,38*20,16))),"",INDIRECT("R9.Web!D"&amp;SUM(18,38*20,16))))</f>
        <v>Pasa</v>
      </c>
      <c r="BE35" s="215" t="str" cm="1">
        <f t="array" aca="1" ref="BE35" ca="1">IF($B35="","",IF(ISBLANK(INDIRECT("R9.Web!D"&amp;SUM(18,38*21,16))),"",INDIRECT("R9.Web!D"&amp;SUM(18,38*21,16))))</f>
        <v>Falla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Pasa</v>
      </c>
      <c r="BJ35" s="215" t="str" cm="1">
        <f t="array" aca="1" ref="BJ35" ca="1">IF($B35="","",IF(ISBLANK(INDIRECT("R9.Web!D"&amp;SUM(18,38*26,16))),"",INDIRECT("R9.Web!D"&amp;SUM(18,38*26,16))))</f>
        <v>Pasa</v>
      </c>
      <c r="BK35" s="215" t="str" cm="1">
        <f t="array" aca="1" ref="BK35" ca="1">IF($B35="","",IF(ISBLANK(INDIRECT("R9.Web!D"&amp;SUM(18,38*27,16))),"",INDIRECT("R9.Web!D"&amp;SUM(18,38*27,16))))</f>
        <v>Falla</v>
      </c>
      <c r="BL35" s="215" t="str" cm="1">
        <f t="array" aca="1" ref="BL35" ca="1">IF($B35="","",IF(ISBLANK(INDIRECT("R9.Web!D"&amp;SUM(18,38*28,16))),"",INDIRECT("R9.Web!D"&amp;SUM(18,38*28,16))))</f>
        <v>Falla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Pasa</v>
      </c>
      <c r="BR35" s="215" t="str" cm="1">
        <f t="array" aca="1" ref="BR35" ca="1">IF($B35="","",IF(ISBLANK(INDIRECT("R9.Web!D"&amp;SUM(18,38*34,16))),"",INDIRECT("R9.Web!D"&amp;SUM(18,38*34,16))))</f>
        <v>Falla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Pasa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Pasa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N/A</v>
      </c>
      <c r="CE35" s="215" t="str" cm="1">
        <f t="array" aca="1" ref="CE35" ca="1">IF($B35="","",IF(ISBLANK(INDIRECT("R9.Web!D"&amp;SUM(18,38*47,16))),"",INDIRECT("R9.Web!D"&amp;SUM(18,38*47,16))))</f>
        <v>Falla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Pasa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N/A</v>
      </c>
      <c r="CP35" s="215" t="str" cm="1">
        <f t="array" aca="1" ref="CP35" ca="1">IF($B35="","",IF(ISBLANK(INDIRECT("R12.ServiciosApoyo!D"&amp;SUM(18,38*2,16))),"",INDIRECT("R12.ServiciosApoyo!D"&amp;SUM(18,38*2,16))))</f>
        <v>N/A</v>
      </c>
      <c r="CQ35" s="215" t="str" cm="1">
        <f t="array" aca="1" ref="CQ35" ca="1">IF($B35="","",IF(ISBLANK(INDIRECT("R12.ServiciosApoyo!D"&amp;SUM(18,38*3,16))),"",INDIRECT("R12.ServiciosApoyo!D"&amp;SUM(18,38*3,16))))</f>
        <v>N/A</v>
      </c>
      <c r="CR35" s="215" t="str" cm="1">
        <f t="array" aca="1" ref="CR35" ca="1">IF($B35="","",IF(ISBLANK(INDIRECT("R12.ServiciosApoyo!D"&amp;SUM(18,38*4,16))),"",INDIRECT("R12.ServiciosApoyo!D"&amp;SUM(18,38*4,16))))</f>
        <v>N/A</v>
      </c>
      <c r="CU35" s="100"/>
      <c r="CV35" s="29"/>
      <c r="CW35" s="29"/>
      <c r="CX35" s="29"/>
    </row>
    <row r="36" spans="2:102" ht="20.5">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Política de cookies</v>
      </c>
      <c r="D36" s="98" t="str" cm="1">
        <f t="array" ref="D36">IFERROR(INDEX('03.Muestra'!$F$8:$F$42,SMALL(IF("Página Web"='03.Muestra'!$D$8:$D$42,ROW('03.Muestra'!$F$8:$F$42)-MIN(ROW('03.Muestra'!$D$8:$D$42))+1,""),ROW()-19)),"")</f>
        <v>https://www.crtm.es/politica-de-cookies</v>
      </c>
      <c r="E36" s="215" t="str" cm="1">
        <f t="array" aca="1" ref="E36" ca="1">IF($B36="","",IF(ISBLANK(INDIRECT("R5.Genéricos!D"&amp;SUM(18,38*0,17))),"",INDIRECT("R5.Genéricos!D"&amp;SUM(18,38*0,17))))</f>
        <v>Pasa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Falla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Falla</v>
      </c>
      <c r="AP36" s="215" t="str" cm="1">
        <f t="array" aca="1" ref="AP36" ca="1">IF($B36="","",IF(ISBLANK(INDIRECT("R9.Web!D"&amp;SUM(18,38*6,17))),"",INDIRECT("R9.Web!D"&amp;SUM(18,38*6,17))))</f>
        <v>Falla</v>
      </c>
      <c r="AQ36" s="215" t="str" cm="1">
        <f t="array" aca="1" ref="AQ36" ca="1">IF($B36="","",IF(ISBLANK(INDIRECT("R9.Web!D"&amp;SUM(18,38*7,17))),"",INDIRECT("R9.Web!D"&amp;SUM(18,38*7,17))))</f>
        <v>Falla</v>
      </c>
      <c r="AR36" s="215" t="str" cm="1">
        <f t="array" aca="1" ref="AR36" ca="1">IF($B36="","",IF(ISBLANK(INDIRECT("R9.Web!D"&amp;SUM(18,38*8,17))),"",INDIRECT("R9.Web!D"&amp;SUM(18,38*8,17))))</f>
        <v>Pasa</v>
      </c>
      <c r="AS36" s="215" t="str" cm="1">
        <f t="array" aca="1" ref="AS36" ca="1">IF($B36="","",IF(ISBLANK(INDIRECT("R9.Web!D"&amp;SUM(18,38*9,17))),"",INDIRECT("R9.Web!D"&amp;SUM(18,38*9,17))))</f>
        <v>N/A</v>
      </c>
      <c r="AT36" s="215" t="str" cm="1">
        <f t="array" aca="1" ref="AT36" ca="1">IF($B36="","",IF(ISBLANK(INDIRECT("R9.Web!D"&amp;SUM(18,38*10,17))),"",INDIRECT("R9.Web!D"&amp;SUM(18,38*10,17))))</f>
        <v>Falla</v>
      </c>
      <c r="AU36" s="215" t="str" cm="1">
        <f t="array" aca="1" ref="AU36" ca="1">IF($B36="","",IF(ISBLANK(INDIRECT("R9.Web!D"&amp;SUM(18,38*11,17))),"",INDIRECT("R9.Web!D"&amp;SUM(18,38*11,17))))</f>
        <v>N/A</v>
      </c>
      <c r="AV36" s="215" t="str" cm="1">
        <f t="array" aca="1" ref="AV36" ca="1">IF($B36="","",IF(ISBLANK(INDIRECT("R9.Web!D"&amp;SUM(18,38*12,17))),"",INDIRECT("R9.Web!D"&amp;SUM(18,38*12,17))))</f>
        <v>Pasa</v>
      </c>
      <c r="AW36" s="215" t="str" cm="1">
        <f t="array" aca="1" ref="AW36" ca="1">IF($B36="","",IF(ISBLANK(INDIRECT("R9.Web!D"&amp;SUM(18,38*13,17))),"",INDIRECT("R9.Web!D"&amp;SUM(18,38*13,17))))</f>
        <v>Falla</v>
      </c>
      <c r="AX36" s="215" t="str" cm="1">
        <f t="array" aca="1" ref="AX36" ca="1">IF($B36="","",IF(ISBLANK(INDIRECT("R9.Web!D"&amp;SUM(18,38*14,17))),"",INDIRECT("R9.Web!D"&amp;SUM(18,38*14,17))))</f>
        <v>N/A</v>
      </c>
      <c r="AY36" s="215" t="str" cm="1">
        <f t="array" aca="1" ref="AY36" ca="1">IF($B36="","",IF(ISBLANK(INDIRECT("R9.Web!D"&amp;SUM(18,38*15,17))),"",INDIRECT("R9.Web!D"&amp;SUM(18,38*15,17))))</f>
        <v>Falla</v>
      </c>
      <c r="AZ36" s="215" t="str" cm="1">
        <f t="array" aca="1" ref="AZ36" ca="1">IF($B36="","",IF(ISBLANK(INDIRECT("R9.Web!D"&amp;SUM(18,38*16,17))),"",INDIRECT("R9.Web!D"&amp;SUM(18,38*16,17))))</f>
        <v>Falla</v>
      </c>
      <c r="BA36" s="215" t="str" cm="1">
        <f t="array" aca="1" ref="BA36" ca="1">IF($B36="","",IF(ISBLANK(INDIRECT("R9.Web!D"&amp;SUM(18,38*17,17))),"",INDIRECT("R9.Web!D"&amp;SUM(18,38*17,17))))</f>
        <v>Falla</v>
      </c>
      <c r="BB36" s="215" t="str" cm="1">
        <f t="array" aca="1" ref="BB36" ca="1">IF($B36="","",IF(ISBLANK(INDIRECT("R9.Web!D"&amp;SUM(18,38*18,17))),"",INDIRECT("R9.Web!D"&amp;SUM(18,38*18,17))))</f>
        <v>N/A</v>
      </c>
      <c r="BC36" s="215" t="str" cm="1">
        <f t="array" aca="1" ref="BC36" ca="1">IF($B36="","",IF(ISBLANK(INDIRECT("R9.Web!D"&amp;SUM(18,38*19,17))),"",INDIRECT("R9.Web!D"&amp;SUM(18,38*19,17))))</f>
        <v>Pasa</v>
      </c>
      <c r="BD36" s="215" t="str" cm="1">
        <f t="array" aca="1" ref="BD36" ca="1">IF($B36="","",IF(ISBLANK(INDIRECT("R9.Web!D"&amp;SUM(18,38*20,17))),"",INDIRECT("R9.Web!D"&amp;SUM(18,38*20,17))))</f>
        <v>Pasa</v>
      </c>
      <c r="BE36" s="215" t="str" cm="1">
        <f t="array" aca="1" ref="BE36" ca="1">IF($B36="","",IF(ISBLANK(INDIRECT("R9.Web!D"&amp;SUM(18,38*21,17))),"",INDIRECT("R9.Web!D"&amp;SUM(18,38*21,17))))</f>
        <v>Falla</v>
      </c>
      <c r="BF36" s="215" t="str" cm="1">
        <f t="array" aca="1" ref="BF36" ca="1">IF($B36="","",IF(ISBLANK(INDIRECT("R9.Web!D"&amp;SUM(18,38*22,17))),"",INDIRECT("R9.Web!D"&amp;SUM(18,38*22,17))))</f>
        <v>N/A</v>
      </c>
      <c r="BG36" s="215" t="str" cm="1">
        <f t="array" aca="1" ref="BG36" ca="1">IF($B36="","",IF(ISBLANK(INDIRECT("R9.Web!D"&amp;SUM(18,38*23,17))),"",INDIRECT("R9.Web!D"&amp;SUM(18,38*23,17))))</f>
        <v>N/A</v>
      </c>
      <c r="BH36" s="215" t="str" cm="1">
        <f t="array" aca="1" ref="BH36" ca="1">IF($B36="","",IF(ISBLANK(INDIRECT("R9.Web!D"&amp;SUM(18,38*24,17))),"",INDIRECT("R9.Web!D"&amp;SUM(18,38*24,17))))</f>
        <v>N/A</v>
      </c>
      <c r="BI36" s="215" t="str" cm="1">
        <f t="array" aca="1" ref="BI36" ca="1">IF($B36="","",IF(ISBLANK(INDIRECT("R9.Web!D"&amp;SUM(18,38*25,17))),"",INDIRECT("R9.Web!D"&amp;SUM(18,38*25,17))))</f>
        <v>Pasa</v>
      </c>
      <c r="BJ36" s="215" t="str" cm="1">
        <f t="array" aca="1" ref="BJ36" ca="1">IF($B36="","",IF(ISBLANK(INDIRECT("R9.Web!D"&amp;SUM(18,38*26,17))),"",INDIRECT("R9.Web!D"&amp;SUM(18,38*26,17))))</f>
        <v>Pasa</v>
      </c>
      <c r="BK36" s="215" t="str" cm="1">
        <f t="array" aca="1" ref="BK36" ca="1">IF($B36="","",IF(ISBLANK(INDIRECT("R9.Web!D"&amp;SUM(18,38*27,17))),"",INDIRECT("R9.Web!D"&amp;SUM(18,38*27,17))))</f>
        <v>Falla</v>
      </c>
      <c r="BL36" s="215" t="str" cm="1">
        <f t="array" aca="1" ref="BL36" ca="1">IF($B36="","",IF(ISBLANK(INDIRECT("R9.Web!D"&amp;SUM(18,38*28,17))),"",INDIRECT("R9.Web!D"&amp;SUM(18,38*28,17))))</f>
        <v>Falla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Pasa</v>
      </c>
      <c r="BP36" s="215" t="str" cm="1">
        <f t="array" aca="1" ref="BP36" ca="1">IF($B36="","",IF(ISBLANK(INDIRECT("R9.Web!D"&amp;SUM(18,38*32,17))),"",INDIRECT("R9.Web!D"&amp;SUM(18,38*32,17))))</f>
        <v>N/A</v>
      </c>
      <c r="BQ36" s="215" t="str" cm="1">
        <f t="array" aca="1" ref="BQ36" ca="1">IF($B36="","",IF(ISBLANK(INDIRECT("R9.Web!D"&amp;SUM(18,38*33,17))),"",INDIRECT("R9.Web!D"&amp;SUM(18,38*33,17))))</f>
        <v>Pasa</v>
      </c>
      <c r="BR36" s="215" t="str" cm="1">
        <f t="array" aca="1" ref="BR36" ca="1">IF($B36="","",IF(ISBLANK(INDIRECT("R9.Web!D"&amp;SUM(18,38*34,17))),"",INDIRECT("R9.Web!D"&amp;SUM(18,38*34,17))))</f>
        <v>Falla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Pasa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Pasa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N/A</v>
      </c>
      <c r="CE36" s="215" t="str" cm="1">
        <f t="array" aca="1" ref="CE36" ca="1">IF($B36="","",IF(ISBLANK(INDIRECT("R9.Web!D"&amp;SUM(18,38*47,17))),"",INDIRECT("R9.Web!D"&amp;SUM(18,38*47,17))))</f>
        <v>Falla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Pasa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N/A</v>
      </c>
      <c r="CO36" s="215" t="str" cm="1">
        <f t="array" aca="1" ref="CO36" ca="1">IF($B36="","",IF(ISBLANK(INDIRECT("R12.ServiciosApoyo!D"&amp;SUM(18,38*1,17))),"",INDIRECT("R12.ServiciosApoyo!D"&amp;SUM(18,38*1,17))))</f>
        <v>N/A</v>
      </c>
      <c r="CP36" s="215" t="str" cm="1">
        <f t="array" aca="1" ref="CP36" ca="1">IF($B36="","",IF(ISBLANK(INDIRECT("R12.ServiciosApoyo!D"&amp;SUM(18,38*2,17))),"",INDIRECT("R12.ServiciosApoyo!D"&amp;SUM(18,38*2,17))))</f>
        <v>N/A</v>
      </c>
      <c r="CQ36" s="215" t="str" cm="1">
        <f t="array" aca="1" ref="CQ36" ca="1">IF($B36="","",IF(ISBLANK(INDIRECT("R12.ServiciosApoyo!D"&amp;SUM(18,38*3,17))),"",INDIRECT("R12.ServiciosApoyo!D"&amp;SUM(18,38*3,17))))</f>
        <v>N/A</v>
      </c>
      <c r="CR36" s="215" t="str" cm="1">
        <f t="array" aca="1" ref="CR36" ca="1">IF($B36="","",IF(ISBLANK(INDIRECT("R12.ServiciosApoyo!D"&amp;SUM(18,38*4,17))),"",INDIRECT("R12.ServiciosApoyo!D"&amp;SUM(18,38*4,17))))</f>
        <v>N/A</v>
      </c>
      <c r="CU36" s="100"/>
      <c r="CV36" s="29"/>
      <c r="CW36" s="29"/>
      <c r="CX36" s="29"/>
    </row>
    <row r="37" spans="2:102" ht="20.5">
      <c r="B37" s="181" cm="1">
        <f t="array" ref="B37">IFERROR(INDEX('03.Muestra'!$B$8:$B$42,SMALL(IF("Página Web"='03.Muestra'!$D$8:$D$42,ROW('03.Muestra'!$B$8:$B$42)-MIN(ROW('03.Muestra'!$D$8:$D$42))+1,""),ROW()-19)),"")</f>
        <v>18</v>
      </c>
      <c r="C37" s="97" t="str" cm="1">
        <f t="array" ref="C37">IFERROR(INDEX('03.Muestra'!$C$8:$C$42,SMALL(IF("Página Web"='03.Muestra'!$D$8:$D$42,ROW('03.Muestra'!$C$8:$C$42)-MIN(ROW('03.Muestra'!$D$8:$D$42))+1,""),ROW()-19)),"")</f>
        <v>Aviso Legal</v>
      </c>
      <c r="D37" s="98" t="str" cm="1">
        <f t="array" ref="D37">IFERROR(INDEX('03.Muestra'!$F$8:$F$42,SMALL(IF("Página Web"='03.Muestra'!$D$8:$D$42,ROW('03.Muestra'!$F$8:$F$42)-MIN(ROW('03.Muestra'!$D$8:$D$42))+1,""),ROW()-19)),"")</f>
        <v>https://www.crtm.es/aviso-legal</v>
      </c>
      <c r="E37" s="215" t="str" cm="1">
        <f t="array" aca="1" ref="E37" ca="1">IF($B37="","",IF(ISBLANK(INDIRECT("R5.Genéricos!D"&amp;SUM(18,38*0,18))),"",INDIRECT("R5.Genéricos!D"&amp;SUM(18,38*0,18))))</f>
        <v>Pasa</v>
      </c>
      <c r="F37" s="215" t="str" cm="1">
        <f t="array" aca="1" ref="F37" ca="1">IF($B37="","",IF(ISBLANK(INDIRECT("R5.Genéricos!D"&amp;SUM(18,38*1,18))),"",INDIRECT("R5.Genéricos!D"&amp;SUM(18,38*1,18))))</f>
        <v>N/A</v>
      </c>
      <c r="G37" s="215" t="str" cm="1">
        <f t="array" aca="1" ref="G37" ca="1">IF($B37="","",IF(ISBLANK(INDIRECT("R5.Genéricos!D"&amp;SUM(18,38*2,18))),"",INDIRECT("R5.Genéricos!D"&amp;SUM(18,38*2,18))))</f>
        <v>N/A</v>
      </c>
      <c r="H37" s="215" t="str" cm="1">
        <f t="array" aca="1" ref="H37" ca="1">IF($B37="","",IF(ISBLANK(INDIRECT("R6.Voz!D"&amp;SUM(18,38*0,18))),"",INDIRECT("R6.Voz!D"&amp;SUM(18,38*0,18))))</f>
        <v>N/A</v>
      </c>
      <c r="I37" s="215" t="str" cm="1">
        <f t="array" aca="1" ref="I37" ca="1">IF($B37="","",IF(ISBLANK(INDIRECT("R6.Voz!D"&amp;SUM(18,38*1,18))),"",INDIRECT("R6.Voz!D"&amp;SUM(18,38*1,18))))</f>
        <v>N/A</v>
      </c>
      <c r="J37" s="215" t="str" cm="1">
        <f t="array" aca="1" ref="J37" ca="1">IF($B37="","",IF(ISBLANK(INDIRECT("R6.Voz!D"&amp;SUM(18,38*2,18))),"",INDIRECT("R6.Voz!D"&amp;SUM(18,38*2,18))))</f>
        <v>N/A</v>
      </c>
      <c r="K37" s="215" t="str" cm="1">
        <f t="array" aca="1" ref="K37" ca="1">IF($B37="","",IF(ISBLANK(INDIRECT("R6.Voz!D"&amp;SUM(18,38*3,18))),"",INDIRECT("R6.Voz!D"&amp;SUM(18,38*3,18))))</f>
        <v>N/A</v>
      </c>
      <c r="L37" s="215" t="str" cm="1">
        <f t="array" aca="1" ref="L37" ca="1">IF($B37="","",IF(ISBLANK(INDIRECT("R6.Voz!D"&amp;SUM(18,38*4,18))),"",INDIRECT("R6.Voz!D"&amp;SUM(18,38*4,18))))</f>
        <v>N/A</v>
      </c>
      <c r="M37" s="215" t="str" cm="1">
        <f t="array" aca="1" ref="M37" ca="1">IF($B37="","",IF(ISBLANK(INDIRECT("R6.Voz!D"&amp;SUM(18,38*5,18))),"",INDIRECT("R6.Voz!D"&amp;SUM(18,38*5,18))))</f>
        <v>N/A</v>
      </c>
      <c r="N37" s="215" t="str" cm="1">
        <f t="array" aca="1" ref="N37" ca="1">IF($B37="","",IF(ISBLANK(INDIRECT("R6.Voz!D"&amp;SUM(18,38*6,18))),"",INDIRECT("R6.Voz!D"&amp;SUM(18,38*6,18))))</f>
        <v>N/A</v>
      </c>
      <c r="O37" s="215" t="str" cm="1">
        <f t="array" aca="1" ref="O37" ca="1">IF($B37="","",IF(ISBLANK(INDIRECT("R6.Voz!D"&amp;SUM(18,38*7,18))),"",INDIRECT("R6.Voz!D"&amp;SUM(18,38*7,18))))</f>
        <v>N/A</v>
      </c>
      <c r="P37" s="215" t="str" cm="1">
        <f t="array" aca="1" ref="P37" ca="1">IF($B37="","",IF(ISBLANK(INDIRECT("R6.Voz!D"&amp;SUM(18,38*8,18))),"",INDIRECT("R6.Voz!D"&amp;SUM(18,38*8,18))))</f>
        <v>N/A</v>
      </c>
      <c r="Q37" s="215" t="str" cm="1">
        <f t="array" aca="1" ref="Q37" ca="1">IF($B37="","",IF(ISBLANK(INDIRECT("R6.Voz!D"&amp;SUM(18,38*9,18))),"",INDIRECT("R6.Voz!D"&amp;SUM(18,38*9,18))))</f>
        <v>N/A</v>
      </c>
      <c r="R37" s="215" t="str" cm="1">
        <f t="array" aca="1" ref="R37" ca="1">IF($B37="","",IF(ISBLANK(INDIRECT("R6.Voz!D"&amp;SUM(18,38*10,18))),"",INDIRECT("R6.Voz!D"&amp;SUM(18,38*10,18))))</f>
        <v>N/A</v>
      </c>
      <c r="S37" s="215" t="str" cm="1">
        <f t="array" aca="1" ref="S37" ca="1">IF($B37="","",IF(ISBLANK(INDIRECT("R6.Voz!D"&amp;SUM(18,38*11,18))),"",INDIRECT("R6.Voz!D"&amp;SUM(18,38*11,18))))</f>
        <v>N/A</v>
      </c>
      <c r="T37" s="215" t="str" cm="1">
        <f t="array" aca="1" ref="T37" ca="1">IF($B37="","",IF(ISBLANK(INDIRECT("R6.Voz!D"&amp;SUM(18,38*12,18))),"",INDIRECT("R6.Voz!D"&amp;SUM(18,38*12,18))))</f>
        <v>N/A</v>
      </c>
      <c r="U37" s="215" t="str" cm="1">
        <f t="array" aca="1" ref="U37" ca="1">IF($B37="","",IF(ISBLANK(INDIRECT("R6.Voz!D"&amp;SUM(18,38*13,18))),"",INDIRECT("R6.Voz!D"&amp;SUM(18,38*13,18))))</f>
        <v>N/A</v>
      </c>
      <c r="V37" s="215" t="str" cm="1">
        <f t="array" aca="1" ref="V37" ca="1">IF($B37="","",IF(ISBLANK(INDIRECT("R6.Voz!D"&amp;SUM(18,38*14,18))),"",INDIRECT("R6.Voz!D"&amp;SUM(18,38*14,18))))</f>
        <v>N/A</v>
      </c>
      <c r="W37" s="215" t="str" cm="1">
        <f t="array" aca="1" ref="W37" ca="1">IF($B37="","",IF(ISBLANK(INDIRECT("R6.Voz!D"&amp;SUM(18,38*15,18))),"",INDIRECT("R6.Voz!D"&amp;SUM(18,38*15,18))))</f>
        <v>N/A</v>
      </c>
      <c r="X37" s="215" t="str" cm="1">
        <f t="array" aca="1" ref="X37" ca="1">IF($B37="","",IF(ISBLANK(INDIRECT("R6.Voz!D"&amp;SUM(18,38*16,18))),"",INDIRECT("R6.Voz!D"&amp;SUM(18,38*16,18))))</f>
        <v>N/A</v>
      </c>
      <c r="Y37" s="215" t="str" cm="1">
        <f t="array" aca="1" ref="Y37" ca="1">IF($B37="","",IF(ISBLANK(INDIRECT("R6.Voz!D"&amp;SUM(18,38*17,18))),"",INDIRECT("R6.Voz!D"&amp;SUM(18,38*17,18))))</f>
        <v>N/A</v>
      </c>
      <c r="Z37" s="215" t="str" cm="1">
        <f t="array" aca="1" ref="Z37" ca="1">IF($B37="","",IF(ISBLANK(INDIRECT("R6.Voz!D"&amp;SUM(18,38*18,18))),"",INDIRECT("R6.Voz!D"&amp;SUM(18,38*18,18))))</f>
        <v>N/A</v>
      </c>
      <c r="AA37" s="215" t="str" cm="1">
        <f t="array" aca="1" ref="AA37" ca="1">IF($B37="","",IF(ISBLANK(INDIRECT("R7.Video!D"&amp;SUM(18,38*0,18))),"",INDIRECT("R7.Video!D"&amp;SUM(18,38*0,18))))</f>
        <v>N/A</v>
      </c>
      <c r="AB37" s="215" t="str" cm="1">
        <f t="array" aca="1" ref="AB37" ca="1">IF($B37="","",IF(ISBLANK(INDIRECT("R7.Video!D"&amp;SUM(18,38*1,18))),"",INDIRECT("R7.Video!D"&amp;SUM(18,38*1,18))))</f>
        <v>N/A</v>
      </c>
      <c r="AC37" s="215" t="str" cm="1">
        <f t="array" aca="1" ref="AC37" ca="1">IF($B37="","",IF(ISBLANK(INDIRECT("R7.Video!D"&amp;SUM(18,38*2,18))),"",INDIRECT("R7.Video!D"&amp;SUM(18,38*2,18))))</f>
        <v>N/A</v>
      </c>
      <c r="AD37" s="215" t="str" cm="1">
        <f t="array" aca="1" ref="AD37" ca="1">IF($B37="","",IF(ISBLANK(INDIRECT("R7.Video!D"&amp;SUM(18,38*3,18))),"",INDIRECT("R7.Video!D"&amp;SUM(18,38*3,18))))</f>
        <v>N/A</v>
      </c>
      <c r="AE37" s="215" t="str" cm="1">
        <f t="array" aca="1" ref="AE37" ca="1">IF($B37="","",IF(ISBLANK(INDIRECT("R7.Video!D"&amp;SUM(18,38*4,18))),"",INDIRECT("R7.Video!D"&amp;SUM(18,38*4,18))))</f>
        <v>N/A</v>
      </c>
      <c r="AF37" s="215" t="str" cm="1">
        <f t="array" aca="1" ref="AF37" ca="1">IF($B37="","",IF(ISBLANK(INDIRECT("R7.Video!D"&amp;SUM(18,38*5,18))),"",INDIRECT("R7.Video!D"&amp;SUM(18,38*5,18))))</f>
        <v>N/A</v>
      </c>
      <c r="AG37" s="215" t="str" cm="1">
        <f t="array" aca="1" ref="AG37" ca="1">IF($B37="","",IF(ISBLANK(INDIRECT("R7.Video!D"&amp;SUM(18,38*6,18))),"",INDIRECT("R7.Video!D"&amp;SUM(18,38*6,18))))</f>
        <v>N/A</v>
      </c>
      <c r="AH37" s="215" t="str" cm="1">
        <f t="array" aca="1" ref="AH37" ca="1">IF($B37="","",IF(ISBLANK(INDIRECT("R7.Video!D"&amp;SUM(18,38*7,18))),"",INDIRECT("R7.Video!D"&amp;SUM(18,38*7,18))))</f>
        <v>N/A</v>
      </c>
      <c r="AI37" s="215" t="str" cm="1">
        <f t="array" aca="1" ref="AI37" ca="1">IF($B37="","",IF(ISBLANK(INDIRECT("R7.Video!D"&amp;SUM(18,38*8,18))),"",INDIRECT("R7.Video!D"&amp;SUM(18,38*8,18))))</f>
        <v>N/A</v>
      </c>
      <c r="AJ37" s="215" t="str" cm="1">
        <f t="array" aca="1" ref="AJ37" ca="1">IF($B37="","",IF(ISBLANK(INDIRECT("R9.Web!D"&amp;SUM(18,38*0,18))),"",INDIRECT("R9.Web!D"&amp;SUM(18,38*0,18))))</f>
        <v>Falla</v>
      </c>
      <c r="AK37" s="215" t="str" cm="1">
        <f t="array" aca="1" ref="AK37" ca="1">IF($B37="","",IF(ISBLANK(INDIRECT("R9.Web!D"&amp;SUM(18,38*1,18))),"",INDIRECT("R9.Web!D"&amp;SUM(18,38*1,18))))</f>
        <v>N/A</v>
      </c>
      <c r="AL37" s="215" t="str" cm="1">
        <f t="array" aca="1" ref="AL37" ca="1">IF($B37="","",IF(ISBLANK(INDIRECT("R9.Web!D"&amp;SUM(18,38*2,18))),"",INDIRECT("R9.Web!D"&amp;SUM(18,38*2,18))))</f>
        <v>N/A</v>
      </c>
      <c r="AM37" s="215" t="str" cm="1">
        <f t="array" aca="1" ref="AM37" ca="1">IF($B37="","",IF(ISBLANK(INDIRECT("R9.Web!D"&amp;SUM(18,38*3,18))),"",INDIRECT("R9.Web!D"&amp;SUM(18,38*3,18))))</f>
        <v>N/A</v>
      </c>
      <c r="AN37" s="215" t="str" cm="1">
        <f t="array" aca="1" ref="AN37" ca="1">IF($B37="","",IF(ISBLANK(INDIRECT("R9.Web!D"&amp;SUM(18,38*4,18))),"",INDIRECT("R9.Web!D"&amp;SUM(18,38*4,18))))</f>
        <v>N/A</v>
      </c>
      <c r="AO37" s="215" t="str" cm="1">
        <f t="array" aca="1" ref="AO37" ca="1">IF($B37="","",IF(ISBLANK(INDIRECT("R9.Web!D"&amp;SUM(18,38*5,18))),"",INDIRECT("R9.Web!D"&amp;SUM(18,38*5,18))))</f>
        <v>Falla</v>
      </c>
      <c r="AP37" s="215" t="str" cm="1">
        <f t="array" aca="1" ref="AP37" ca="1">IF($B37="","",IF(ISBLANK(INDIRECT("R9.Web!D"&amp;SUM(18,38*6,18))),"",INDIRECT("R9.Web!D"&amp;SUM(18,38*6,18))))</f>
        <v>Falla</v>
      </c>
      <c r="AQ37" s="215" t="str" cm="1">
        <f t="array" aca="1" ref="AQ37" ca="1">IF($B37="","",IF(ISBLANK(INDIRECT("R9.Web!D"&amp;SUM(18,38*7,18))),"",INDIRECT("R9.Web!D"&amp;SUM(18,38*7,18))))</f>
        <v>Falla</v>
      </c>
      <c r="AR37" s="215" t="str" cm="1">
        <f t="array" aca="1" ref="AR37" ca="1">IF($B37="","",IF(ISBLANK(INDIRECT("R9.Web!D"&amp;SUM(18,38*8,18))),"",INDIRECT("R9.Web!D"&amp;SUM(18,38*8,18))))</f>
        <v>Pasa</v>
      </c>
      <c r="AS37" s="215" t="str" cm="1">
        <f t="array" aca="1" ref="AS37" ca="1">IF($B37="","",IF(ISBLANK(INDIRECT("R9.Web!D"&amp;SUM(18,38*9,18))),"",INDIRECT("R9.Web!D"&amp;SUM(18,38*9,18))))</f>
        <v>N/A</v>
      </c>
      <c r="AT37" s="215" t="str" cm="1">
        <f t="array" aca="1" ref="AT37" ca="1">IF($B37="","",IF(ISBLANK(INDIRECT("R9.Web!D"&amp;SUM(18,38*10,18))),"",INDIRECT("R9.Web!D"&amp;SUM(18,38*10,18))))</f>
        <v>Falla</v>
      </c>
      <c r="AU37" s="215" t="str" cm="1">
        <f t="array" aca="1" ref="AU37" ca="1">IF($B37="","",IF(ISBLANK(INDIRECT("R9.Web!D"&amp;SUM(18,38*11,18))),"",INDIRECT("R9.Web!D"&amp;SUM(18,38*11,18))))</f>
        <v>N/A</v>
      </c>
      <c r="AV37" s="215" t="str" cm="1">
        <f t="array" aca="1" ref="AV37" ca="1">IF($B37="","",IF(ISBLANK(INDIRECT("R9.Web!D"&amp;SUM(18,38*12,18))),"",INDIRECT("R9.Web!D"&amp;SUM(18,38*12,18))))</f>
        <v>Pasa</v>
      </c>
      <c r="AW37" s="215" t="str" cm="1">
        <f t="array" aca="1" ref="AW37" ca="1">IF($B37="","",IF(ISBLANK(INDIRECT("R9.Web!D"&amp;SUM(18,38*13,18))),"",INDIRECT("R9.Web!D"&amp;SUM(18,38*13,18))))</f>
        <v>Falla</v>
      </c>
      <c r="AX37" s="215" t="str" cm="1">
        <f t="array" aca="1" ref="AX37" ca="1">IF($B37="","",IF(ISBLANK(INDIRECT("R9.Web!D"&amp;SUM(18,38*14,18))),"",INDIRECT("R9.Web!D"&amp;SUM(18,38*14,18))))</f>
        <v>N/A</v>
      </c>
      <c r="AY37" s="215" t="str" cm="1">
        <f t="array" aca="1" ref="AY37" ca="1">IF($B37="","",IF(ISBLANK(INDIRECT("R9.Web!D"&amp;SUM(18,38*15,18))),"",INDIRECT("R9.Web!D"&amp;SUM(18,38*15,18))))</f>
        <v>Falla</v>
      </c>
      <c r="AZ37" s="215" t="str" cm="1">
        <f t="array" aca="1" ref="AZ37" ca="1">IF($B37="","",IF(ISBLANK(INDIRECT("R9.Web!D"&amp;SUM(18,38*16,18))),"",INDIRECT("R9.Web!D"&amp;SUM(18,38*16,18))))</f>
        <v>Falla</v>
      </c>
      <c r="BA37" s="215" t="str" cm="1">
        <f t="array" aca="1" ref="BA37" ca="1">IF($B37="","",IF(ISBLANK(INDIRECT("R9.Web!D"&amp;SUM(18,38*17,18))),"",INDIRECT("R9.Web!D"&amp;SUM(18,38*17,18))))</f>
        <v>Falla</v>
      </c>
      <c r="BB37" s="215" t="str" cm="1">
        <f t="array" aca="1" ref="BB37" ca="1">IF($B37="","",IF(ISBLANK(INDIRECT("R9.Web!D"&amp;SUM(18,38*18,18))),"",INDIRECT("R9.Web!D"&amp;SUM(18,38*18,18))))</f>
        <v>N/A</v>
      </c>
      <c r="BC37" s="215" t="str" cm="1">
        <f t="array" aca="1" ref="BC37" ca="1">IF($B37="","",IF(ISBLANK(INDIRECT("R9.Web!D"&amp;SUM(18,38*19,18))),"",INDIRECT("R9.Web!D"&amp;SUM(18,38*19,18))))</f>
        <v>Pasa</v>
      </c>
      <c r="BD37" s="215" t="str" cm="1">
        <f t="array" aca="1" ref="BD37" ca="1">IF($B37="","",IF(ISBLANK(INDIRECT("R9.Web!D"&amp;SUM(18,38*20,18))),"",INDIRECT("R9.Web!D"&amp;SUM(18,38*20,18))))</f>
        <v>Pasa</v>
      </c>
      <c r="BE37" s="215" t="str" cm="1">
        <f t="array" aca="1" ref="BE37" ca="1">IF($B37="","",IF(ISBLANK(INDIRECT("R9.Web!D"&amp;SUM(18,38*21,18))),"",INDIRECT("R9.Web!D"&amp;SUM(18,38*21,18))))</f>
        <v>Falla</v>
      </c>
      <c r="BF37" s="215" t="str" cm="1">
        <f t="array" aca="1" ref="BF37" ca="1">IF($B37="","",IF(ISBLANK(INDIRECT("R9.Web!D"&amp;SUM(18,38*22,18))),"",INDIRECT("R9.Web!D"&amp;SUM(18,38*22,18))))</f>
        <v>N/A</v>
      </c>
      <c r="BG37" s="215" t="str" cm="1">
        <f t="array" aca="1" ref="BG37" ca="1">IF($B37="","",IF(ISBLANK(INDIRECT("R9.Web!D"&amp;SUM(18,38*23,18))),"",INDIRECT("R9.Web!D"&amp;SUM(18,38*23,18))))</f>
        <v>N/A</v>
      </c>
      <c r="BH37" s="215" t="str" cm="1">
        <f t="array" aca="1" ref="BH37" ca="1">IF($B37="","",IF(ISBLANK(INDIRECT("R9.Web!D"&amp;SUM(18,38*24,18))),"",INDIRECT("R9.Web!D"&amp;SUM(18,38*24,18))))</f>
        <v>N/A</v>
      </c>
      <c r="BI37" s="215" t="str" cm="1">
        <f t="array" aca="1" ref="BI37" ca="1">IF($B37="","",IF(ISBLANK(INDIRECT("R9.Web!D"&amp;SUM(18,38*25,18))),"",INDIRECT("R9.Web!D"&amp;SUM(18,38*25,18))))</f>
        <v>Pasa</v>
      </c>
      <c r="BJ37" s="215" t="str" cm="1">
        <f t="array" aca="1" ref="BJ37" ca="1">IF($B37="","",IF(ISBLANK(INDIRECT("R9.Web!D"&amp;SUM(18,38*26,18))),"",INDIRECT("R9.Web!D"&amp;SUM(18,38*26,18))))</f>
        <v>Pasa</v>
      </c>
      <c r="BK37" s="215" t="str" cm="1">
        <f t="array" aca="1" ref="BK37" ca="1">IF($B37="","",IF(ISBLANK(INDIRECT("R9.Web!D"&amp;SUM(18,38*27,18))),"",INDIRECT("R9.Web!D"&amp;SUM(18,38*27,18))))</f>
        <v>Falla</v>
      </c>
      <c r="BL37" s="215" t="str" cm="1">
        <f t="array" aca="1" ref="BL37" ca="1">IF($B37="","",IF(ISBLANK(INDIRECT("R9.Web!D"&amp;SUM(18,38*28,18))),"",INDIRECT("R9.Web!D"&amp;SUM(18,38*28,18))))</f>
        <v>Falla</v>
      </c>
      <c r="BM37" s="215" t="str" cm="1">
        <f t="array" aca="1" ref="BM37" ca="1">IF($B37="","",IF(ISBLANK(INDIRECT("R9.Web!D"&amp;SUM(18,38*29,18))),"",INDIRECT("R9.Web!D"&amp;SUM(18,38*29,18))))</f>
        <v>Pasa</v>
      </c>
      <c r="BN37" s="215" t="str" cm="1">
        <f t="array" aca="1" ref="BN37" ca="1">IF($B37="","",IF(ISBLANK(INDIRECT("R9.Web!D"&amp;SUM(18,38*30,18))),"",INDIRECT("R9.Web!D"&amp;SUM(18,38*30,18))))</f>
        <v>Pasa</v>
      </c>
      <c r="BO37" s="215" t="str" cm="1">
        <f t="array" aca="1" ref="BO37" ca="1">IF($B37="","",IF(ISBLANK(INDIRECT("R9.Web!D"&amp;SUM(18,38*31,18))),"",INDIRECT("R9.Web!D"&amp;SUM(18,38*31,18))))</f>
        <v>Pasa</v>
      </c>
      <c r="BP37" s="215" t="str" cm="1">
        <f t="array" aca="1" ref="BP37" ca="1">IF($B37="","",IF(ISBLANK(INDIRECT("R9.Web!D"&amp;SUM(18,38*32,18))),"",INDIRECT("R9.Web!D"&amp;SUM(18,38*32,18))))</f>
        <v>N/A</v>
      </c>
      <c r="BQ37" s="215" t="str" cm="1">
        <f t="array" aca="1" ref="BQ37" ca="1">IF($B37="","",IF(ISBLANK(INDIRECT("R9.Web!D"&amp;SUM(18,38*33,18))),"",INDIRECT("R9.Web!D"&amp;SUM(18,38*33,18))))</f>
        <v>Pasa</v>
      </c>
      <c r="BR37" s="215" t="str" cm="1">
        <f t="array" aca="1" ref="BR37" ca="1">IF($B37="","",IF(ISBLANK(INDIRECT("R9.Web!D"&amp;SUM(18,38*34,18))),"",INDIRECT("R9.Web!D"&amp;SUM(18,38*34,18))))</f>
        <v>Falla</v>
      </c>
      <c r="BS37" s="215" t="str" cm="1">
        <f t="array" aca="1" ref="BS37" ca="1">IF($B37="","",IF(ISBLANK(INDIRECT("R9.Web!D"&amp;SUM(18,38*35,18))),"",INDIRECT("R9.Web!D"&amp;SUM(18,38*35,18))))</f>
        <v>N/A</v>
      </c>
      <c r="BT37" s="215" t="str" cm="1">
        <f t="array" aca="1" ref="BT37" ca="1">IF($B37="","",IF(ISBLANK(INDIRECT("R9.Web!D"&amp;SUM(18,38*36,18))),"",INDIRECT("R9.Web!D"&amp;SUM(18,38*36,18))))</f>
        <v>Pasa</v>
      </c>
      <c r="BU37" s="215" t="str" cm="1">
        <f t="array" aca="1" ref="BU37" ca="1">IF($B37="","",IF(ISBLANK(INDIRECT("R9.Web!D"&amp;SUM(18,38*37,18))),"",INDIRECT("R9.Web!D"&amp;SUM(18,38*37,18))))</f>
        <v>N/A</v>
      </c>
      <c r="BV37" s="215" t="str" cm="1">
        <f t="array" aca="1" ref="BV37" ca="1">IF($B37="","",IF(ISBLANK(INDIRECT("R9.Web!D"&amp;SUM(18,38*38,18))),"",INDIRECT("R9.Web!D"&amp;SUM(18,38*38,18))))</f>
        <v>Pasa</v>
      </c>
      <c r="BW37" s="215" t="str" cm="1">
        <f t="array" aca="1" ref="BW37" ca="1">IF($B37="","",IF(ISBLANK(INDIRECT("R9.Web!D"&amp;SUM(18,38*39,18))),"",INDIRECT("R9.Web!D"&amp;SUM(18,38*39,18))))</f>
        <v>Pasa</v>
      </c>
      <c r="BX37" s="215" t="str" cm="1">
        <f t="array" aca="1" ref="BX37" ca="1">IF($B37="","",IF(ISBLANK(INDIRECT("R9.Web!D"&amp;SUM(18,38*40,18))),"",INDIRECT("R9.Web!D"&amp;SUM(18,38*40,18))))</f>
        <v>Pasa</v>
      </c>
      <c r="BY37" s="215" t="str" cm="1">
        <f t="array" aca="1" ref="BY37" ca="1">IF($B37="","",IF(ISBLANK(INDIRECT("R9.Web!D"&amp;SUM(18,38*41,18))),"",INDIRECT("R9.Web!D"&amp;SUM(18,38*41,18))))</f>
        <v>Pasa</v>
      </c>
      <c r="BZ37" s="215" t="str" cm="1">
        <f t="array" aca="1" ref="BZ37" ca="1">IF($B37="","",IF(ISBLANK(INDIRECT("R9.Web!D"&amp;SUM(18,38*42,18))),"",INDIRECT("R9.Web!D"&amp;SUM(18,38*42,18))))</f>
        <v>N/A</v>
      </c>
      <c r="CA37" s="215" t="str" cm="1">
        <f t="array" aca="1" ref="CA37" ca="1">IF($B37="","",IF(ISBLANK(INDIRECT("R9.Web!D"&amp;SUM(18,38*43,18))),"",INDIRECT("R9.Web!D"&amp;SUM(18,38*43,18))))</f>
        <v>Pasa</v>
      </c>
      <c r="CB37" s="215" t="str" cm="1">
        <f t="array" aca="1" ref="CB37" ca="1">IF($B37="","",IF(ISBLANK(INDIRECT("R9.Web!D"&amp;SUM(18,38*44,18))),"",INDIRECT("R9.Web!D"&amp;SUM(18,38*44,18))))</f>
        <v>N/A</v>
      </c>
      <c r="CC37" s="215" t="str" cm="1">
        <f t="array" aca="1" ref="CC37" ca="1">IF($B37="","",IF(ISBLANK(INDIRECT("R9.Web!D"&amp;SUM(18,38*45,18))),"",INDIRECT("R9.Web!D"&amp;SUM(18,38*45,18))))</f>
        <v>N/A</v>
      </c>
      <c r="CD37" s="215" t="str" cm="1">
        <f t="array" aca="1" ref="CD37" ca="1">IF($B37="","",IF(ISBLANK(INDIRECT("R9.Web!D"&amp;SUM(18,38*46,18))),"",INDIRECT("R9.Web!D"&amp;SUM(18,38*46,18))))</f>
        <v>N/A</v>
      </c>
      <c r="CE37" s="215" t="str" cm="1">
        <f t="array" aca="1" ref="CE37" ca="1">IF($B37="","",IF(ISBLANK(INDIRECT("R9.Web!D"&amp;SUM(18,38*47,18))),"",INDIRECT("R9.Web!D"&amp;SUM(18,38*47,18))))</f>
        <v>Falla</v>
      </c>
      <c r="CF37" s="215" t="str" cm="1">
        <f t="array" aca="1" ref="CF37" ca="1">IF($B37="","",IF(ISBLANK(INDIRECT("R9.Web!D"&amp;SUM(18,38*48,18))),"",INDIRECT("R9.Web!D"&amp;SUM(18,38*48,18))))</f>
        <v>N/A</v>
      </c>
      <c r="CG37" s="215" t="str" cm="1">
        <f t="array" aca="1" ref="CG37" ca="1">IF($B37="","",IF(ISBLANK(INDIRECT("R9.Web!D"&amp;SUM(18,38*49,18))),"",INDIRECT("R9.Web!D"&amp;SUM(18,38*49,18))))</f>
        <v>Falla</v>
      </c>
      <c r="CH37" s="215" t="str" cm="1">
        <f t="array" aca="1" ref="CH37" ca="1">IF($B37="","",IF(ISBLANK(INDIRECT("R11.Software!D"&amp;SUM(18,38*0,18))),"",INDIRECT("R11.Software!D"&amp;SUM(18,38*0,18))))</f>
        <v>Pasa</v>
      </c>
      <c r="CI37" s="215" t="str" cm="1">
        <f t="array" aca="1" ref="CI37" ca="1">IF($B37="","",IF(ISBLANK(INDIRECT("R11.Software!D"&amp;SUM(18,38*1,18))),"",INDIRECT("R11.Software!D"&amp;SUM(18,38*1,18))))</f>
        <v>N/A</v>
      </c>
      <c r="CJ37" s="215" t="str" cm="1">
        <f t="array" aca="1" ref="CJ37" ca="1">IF($B37="","",IF(ISBLANK(INDIRECT("R11.Software!D"&amp;SUM(18,38*2,18))),"",INDIRECT("R11.Software!D"&amp;SUM(18,38*2,18))))</f>
        <v>N/A</v>
      </c>
      <c r="CK37" s="215" t="str" cm="1">
        <f t="array" aca="1" ref="CK37" ca="1">IF($B37="","",IF(ISBLANK(INDIRECT("R11.Software!D"&amp;SUM(18,38*3,18))),"",INDIRECT("R11.Software!D"&amp;SUM(18,38*3,18))))</f>
        <v>N/A</v>
      </c>
      <c r="CL37" s="215" t="str" cm="1">
        <f t="array" aca="1" ref="CL37" ca="1">IF($B37="","",IF(ISBLANK(INDIRECT("R11.Software!D"&amp;SUM(18,38*4,18))),"",INDIRECT("R11.Software!D"&amp;SUM(18,38*4,18))))</f>
        <v>N/A</v>
      </c>
      <c r="CM37" s="215" t="str" cm="1">
        <f t="array" aca="1" ref="CM37" ca="1">IF($B37="","",IF(ISBLANK(INDIRECT("R11.Software!D"&amp;SUM(18,38*5,18))),"",INDIRECT("R11.Software!D"&amp;SUM(18,38*5,18))))</f>
        <v>N/A</v>
      </c>
      <c r="CN37" s="215" t="str" cm="1">
        <f t="array" aca="1" ref="CN37" ca="1">IF($B37="","",IF(ISBLANK(INDIRECT("R12.ServiciosApoyo!D"&amp;SUM(18,38*0,18))),"",INDIRECT("R12.ServiciosApoyo!D"&amp;SUM(18,38*0,18))))</f>
        <v>N/A</v>
      </c>
      <c r="CO37" s="215" t="str" cm="1">
        <f t="array" aca="1" ref="CO37" ca="1">IF($B37="","",IF(ISBLANK(INDIRECT("R12.ServiciosApoyo!D"&amp;SUM(18,38*1,18))),"",INDIRECT("R12.ServiciosApoyo!D"&amp;SUM(18,38*1,18))))</f>
        <v>N/A</v>
      </c>
      <c r="CP37" s="215" t="str" cm="1">
        <f t="array" aca="1" ref="CP37" ca="1">IF($B37="","",IF(ISBLANK(INDIRECT("R12.ServiciosApoyo!D"&amp;SUM(18,38*2,18))),"",INDIRECT("R12.ServiciosApoyo!D"&amp;SUM(18,38*2,18))))</f>
        <v>N/A</v>
      </c>
      <c r="CQ37" s="215" t="str" cm="1">
        <f t="array" aca="1" ref="CQ37" ca="1">IF($B37="","",IF(ISBLANK(INDIRECT("R12.ServiciosApoyo!D"&amp;SUM(18,38*3,18))),"",INDIRECT("R12.ServiciosApoyo!D"&amp;SUM(18,38*3,18))))</f>
        <v>N/A</v>
      </c>
      <c r="CR37" s="215" t="str" cm="1">
        <f t="array" aca="1" ref="CR37" ca="1">IF($B37="","",IF(ISBLANK(INDIRECT("R12.ServiciosApoyo!D"&amp;SUM(18,38*4,18))),"",INDIRECT("R12.ServiciosApoyo!D"&amp;SUM(18,38*4,18))))</f>
        <v>N/A</v>
      </c>
      <c r="CU37" s="100"/>
      <c r="CV37" s="29"/>
      <c r="CW37" s="29"/>
      <c r="CX37" s="29"/>
    </row>
    <row r="38" spans="2:102" ht="20.5">
      <c r="B38" s="181" cm="1">
        <f t="array" ref="B38">IFERROR(INDEX('03.Muestra'!$B$8:$B$42,SMALL(IF("Página Web"='03.Muestra'!$D$8:$D$42,ROW('03.Muestra'!$B$8:$B$42)-MIN(ROW('03.Muestra'!$D$8:$D$42))+1,""),ROW()-19)),"")</f>
        <v>19</v>
      </c>
      <c r="C38" s="97" t="str" cm="1">
        <f t="array" ref="C38">IFERROR(INDEX('03.Muestra'!$C$8:$C$42,SMALL(IF("Página Web"='03.Muestra'!$D$8:$D$42,ROW('03.Muestra'!$C$8:$C$42)-MIN(ROW('03.Muestra'!$D$8:$D$42))+1,""),ROW()-19)),"")</f>
        <v>Normativa</v>
      </c>
      <c r="D38" s="98" t="str" cm="1">
        <f t="array" ref="D38">IFERROR(INDEX('03.Muestra'!$F$8:$F$42,SMALL(IF("Página Web"='03.Muestra'!$D$8:$D$42,ROW('03.Muestra'!$F$8:$F$42)-MIN(ROW('03.Muestra'!$D$8:$D$42))+1,""),ROW()-19)),"")</f>
        <v>https://www.crtm.es/normativa</v>
      </c>
      <c r="E38" s="215" t="str" cm="1">
        <f t="array" aca="1" ref="E38" ca="1">IF($B38="","",IF(ISBLANK(INDIRECT("R5.Genéricos!D"&amp;SUM(18,38*0,19))),"",INDIRECT("R5.Genéricos!D"&amp;SUM(18,38*0,19))))</f>
        <v>Pasa</v>
      </c>
      <c r="F38" s="215" t="str" cm="1">
        <f t="array" aca="1" ref="F38" ca="1">IF($B38="","",IF(ISBLANK(INDIRECT("R5.Genéricos!D"&amp;SUM(18,38*1,19))),"",INDIRECT("R5.Genéricos!D"&amp;SUM(18,38*1,19))))</f>
        <v>N/A</v>
      </c>
      <c r="G38" s="215" t="str" cm="1">
        <f t="array" aca="1" ref="G38" ca="1">IF($B38="","",IF(ISBLANK(INDIRECT("R5.Genéricos!D"&amp;SUM(18,38*2,19))),"",INDIRECT("R5.Genéricos!D"&amp;SUM(18,38*2,19))))</f>
        <v>N/A</v>
      </c>
      <c r="H38" s="215" t="str" cm="1">
        <f t="array" aca="1" ref="H38" ca="1">IF($B38="","",IF(ISBLANK(INDIRECT("R6.Voz!D"&amp;SUM(18,38*0,19))),"",INDIRECT("R6.Voz!D"&amp;SUM(18,38*0,19))))</f>
        <v>N/A</v>
      </c>
      <c r="I38" s="215" t="str" cm="1">
        <f t="array" aca="1" ref="I38" ca="1">IF($B38="","",IF(ISBLANK(INDIRECT("R6.Voz!D"&amp;SUM(18,38*1,19))),"",INDIRECT("R6.Voz!D"&amp;SUM(18,38*1,19))))</f>
        <v>N/A</v>
      </c>
      <c r="J38" s="215" t="str" cm="1">
        <f t="array" aca="1" ref="J38" ca="1">IF($B38="","",IF(ISBLANK(INDIRECT("R6.Voz!D"&amp;SUM(18,38*2,19))),"",INDIRECT("R6.Voz!D"&amp;SUM(18,38*2,19))))</f>
        <v>N/A</v>
      </c>
      <c r="K38" s="215" t="str" cm="1">
        <f t="array" aca="1" ref="K38" ca="1">IF($B38="","",IF(ISBLANK(INDIRECT("R6.Voz!D"&amp;SUM(18,38*3,19))),"",INDIRECT("R6.Voz!D"&amp;SUM(18,38*3,19))))</f>
        <v>N/A</v>
      </c>
      <c r="L38" s="215" t="str" cm="1">
        <f t="array" aca="1" ref="L38" ca="1">IF($B38="","",IF(ISBLANK(INDIRECT("R6.Voz!D"&amp;SUM(18,38*4,19))),"",INDIRECT("R6.Voz!D"&amp;SUM(18,38*4,19))))</f>
        <v>N/A</v>
      </c>
      <c r="M38" s="215" t="str" cm="1">
        <f t="array" aca="1" ref="M38" ca="1">IF($B38="","",IF(ISBLANK(INDIRECT("R6.Voz!D"&amp;SUM(18,38*5,19))),"",INDIRECT("R6.Voz!D"&amp;SUM(18,38*5,19))))</f>
        <v>N/A</v>
      </c>
      <c r="N38" s="215" t="str" cm="1">
        <f t="array" aca="1" ref="N38" ca="1">IF($B38="","",IF(ISBLANK(INDIRECT("R6.Voz!D"&amp;SUM(18,38*6,19))),"",INDIRECT("R6.Voz!D"&amp;SUM(18,38*6,19))))</f>
        <v>N/A</v>
      </c>
      <c r="O38" s="215" t="str" cm="1">
        <f t="array" aca="1" ref="O38" ca="1">IF($B38="","",IF(ISBLANK(INDIRECT("R6.Voz!D"&amp;SUM(18,38*7,19))),"",INDIRECT("R6.Voz!D"&amp;SUM(18,38*7,19))))</f>
        <v>N/A</v>
      </c>
      <c r="P38" s="215" t="str" cm="1">
        <f t="array" aca="1" ref="P38" ca="1">IF($B38="","",IF(ISBLANK(INDIRECT("R6.Voz!D"&amp;SUM(18,38*8,19))),"",INDIRECT("R6.Voz!D"&amp;SUM(18,38*8,19))))</f>
        <v>N/A</v>
      </c>
      <c r="Q38" s="215" t="str" cm="1">
        <f t="array" aca="1" ref="Q38" ca="1">IF($B38="","",IF(ISBLANK(INDIRECT("R6.Voz!D"&amp;SUM(18,38*9,19))),"",INDIRECT("R6.Voz!D"&amp;SUM(18,38*9,19))))</f>
        <v>N/A</v>
      </c>
      <c r="R38" s="215" t="str" cm="1">
        <f t="array" aca="1" ref="R38" ca="1">IF($B38="","",IF(ISBLANK(INDIRECT("R6.Voz!D"&amp;SUM(18,38*10,19))),"",INDIRECT("R6.Voz!D"&amp;SUM(18,38*10,19))))</f>
        <v>N/A</v>
      </c>
      <c r="S38" s="215" t="str" cm="1">
        <f t="array" aca="1" ref="S38" ca="1">IF($B38="","",IF(ISBLANK(INDIRECT("R6.Voz!D"&amp;SUM(18,38*11,19))),"",INDIRECT("R6.Voz!D"&amp;SUM(18,38*11,19))))</f>
        <v>N/A</v>
      </c>
      <c r="T38" s="215" t="str" cm="1">
        <f t="array" aca="1" ref="T38" ca="1">IF($B38="","",IF(ISBLANK(INDIRECT("R6.Voz!D"&amp;SUM(18,38*12,19))),"",INDIRECT("R6.Voz!D"&amp;SUM(18,38*12,19))))</f>
        <v>N/A</v>
      </c>
      <c r="U38" s="215" t="str" cm="1">
        <f t="array" aca="1" ref="U38" ca="1">IF($B38="","",IF(ISBLANK(INDIRECT("R6.Voz!D"&amp;SUM(18,38*13,19))),"",INDIRECT("R6.Voz!D"&amp;SUM(18,38*13,19))))</f>
        <v>N/A</v>
      </c>
      <c r="V38" s="215" t="str" cm="1">
        <f t="array" aca="1" ref="V38" ca="1">IF($B38="","",IF(ISBLANK(INDIRECT("R6.Voz!D"&amp;SUM(18,38*14,19))),"",INDIRECT("R6.Voz!D"&amp;SUM(18,38*14,19))))</f>
        <v>N/A</v>
      </c>
      <c r="W38" s="215" t="str" cm="1">
        <f t="array" aca="1" ref="W38" ca="1">IF($B38="","",IF(ISBLANK(INDIRECT("R6.Voz!D"&amp;SUM(18,38*15,19))),"",INDIRECT("R6.Voz!D"&amp;SUM(18,38*15,19))))</f>
        <v>N/A</v>
      </c>
      <c r="X38" s="215" t="str" cm="1">
        <f t="array" aca="1" ref="X38" ca="1">IF($B38="","",IF(ISBLANK(INDIRECT("R6.Voz!D"&amp;SUM(18,38*16,19))),"",INDIRECT("R6.Voz!D"&amp;SUM(18,38*16,19))))</f>
        <v>N/A</v>
      </c>
      <c r="Y38" s="215" t="str" cm="1">
        <f t="array" aca="1" ref="Y38" ca="1">IF($B38="","",IF(ISBLANK(INDIRECT("R6.Voz!D"&amp;SUM(18,38*17,19))),"",INDIRECT("R6.Voz!D"&amp;SUM(18,38*17,19))))</f>
        <v>N/A</v>
      </c>
      <c r="Z38" s="215" t="str" cm="1">
        <f t="array" aca="1" ref="Z38" ca="1">IF($B38="","",IF(ISBLANK(INDIRECT("R6.Voz!D"&amp;SUM(18,38*18,19))),"",INDIRECT("R6.Voz!D"&amp;SUM(18,38*18,19))))</f>
        <v>N/A</v>
      </c>
      <c r="AA38" s="215" t="str" cm="1">
        <f t="array" aca="1" ref="AA38" ca="1">IF($B38="","",IF(ISBLANK(INDIRECT("R7.Video!D"&amp;SUM(18,38*0,19))),"",INDIRECT("R7.Video!D"&amp;SUM(18,38*0,19))))</f>
        <v>N/A</v>
      </c>
      <c r="AB38" s="215" t="str" cm="1">
        <f t="array" aca="1" ref="AB38" ca="1">IF($B38="","",IF(ISBLANK(INDIRECT("R7.Video!D"&amp;SUM(18,38*1,19))),"",INDIRECT("R7.Video!D"&amp;SUM(18,38*1,19))))</f>
        <v>N/A</v>
      </c>
      <c r="AC38" s="215" t="str" cm="1">
        <f t="array" aca="1" ref="AC38" ca="1">IF($B38="","",IF(ISBLANK(INDIRECT("R7.Video!D"&amp;SUM(18,38*2,19))),"",INDIRECT("R7.Video!D"&amp;SUM(18,38*2,19))))</f>
        <v>N/A</v>
      </c>
      <c r="AD38" s="215" t="str" cm="1">
        <f t="array" aca="1" ref="AD38" ca="1">IF($B38="","",IF(ISBLANK(INDIRECT("R7.Video!D"&amp;SUM(18,38*3,19))),"",INDIRECT("R7.Video!D"&amp;SUM(18,38*3,19))))</f>
        <v>N/A</v>
      </c>
      <c r="AE38" s="215" t="str" cm="1">
        <f t="array" aca="1" ref="AE38" ca="1">IF($B38="","",IF(ISBLANK(INDIRECT("R7.Video!D"&amp;SUM(18,38*4,19))),"",INDIRECT("R7.Video!D"&amp;SUM(18,38*4,19))))</f>
        <v>N/A</v>
      </c>
      <c r="AF38" s="215" t="str" cm="1">
        <f t="array" aca="1" ref="AF38" ca="1">IF($B38="","",IF(ISBLANK(INDIRECT("R7.Video!D"&amp;SUM(18,38*5,19))),"",INDIRECT("R7.Video!D"&amp;SUM(18,38*5,19))))</f>
        <v>N/A</v>
      </c>
      <c r="AG38" s="215" t="str" cm="1">
        <f t="array" aca="1" ref="AG38" ca="1">IF($B38="","",IF(ISBLANK(INDIRECT("R7.Video!D"&amp;SUM(18,38*6,19))),"",INDIRECT("R7.Video!D"&amp;SUM(18,38*6,19))))</f>
        <v>N/A</v>
      </c>
      <c r="AH38" s="215" t="str" cm="1">
        <f t="array" aca="1" ref="AH38" ca="1">IF($B38="","",IF(ISBLANK(INDIRECT("R7.Video!D"&amp;SUM(18,38*7,19))),"",INDIRECT("R7.Video!D"&amp;SUM(18,38*7,19))))</f>
        <v>N/A</v>
      </c>
      <c r="AI38" s="215" t="str" cm="1">
        <f t="array" aca="1" ref="AI38" ca="1">IF($B38="","",IF(ISBLANK(INDIRECT("R7.Video!D"&amp;SUM(18,38*8,19))),"",INDIRECT("R7.Video!D"&amp;SUM(18,38*8,19))))</f>
        <v>N/A</v>
      </c>
      <c r="AJ38" s="215" t="str" cm="1">
        <f t="array" aca="1" ref="AJ38" ca="1">IF($B38="","",IF(ISBLANK(INDIRECT("R9.Web!D"&amp;SUM(18,38*0,19))),"",INDIRECT("R9.Web!D"&amp;SUM(18,38*0,19))))</f>
        <v>Falla</v>
      </c>
      <c r="AK38" s="215" t="str" cm="1">
        <f t="array" aca="1" ref="AK38" ca="1">IF($B38="","",IF(ISBLANK(INDIRECT("R9.Web!D"&amp;SUM(18,38*1,19))),"",INDIRECT("R9.Web!D"&amp;SUM(18,38*1,19))))</f>
        <v>N/A</v>
      </c>
      <c r="AL38" s="215" t="str" cm="1">
        <f t="array" aca="1" ref="AL38" ca="1">IF($B38="","",IF(ISBLANK(INDIRECT("R9.Web!D"&amp;SUM(18,38*2,19))),"",INDIRECT("R9.Web!D"&amp;SUM(18,38*2,19))))</f>
        <v>N/A</v>
      </c>
      <c r="AM38" s="215" t="str" cm="1">
        <f t="array" aca="1" ref="AM38" ca="1">IF($B38="","",IF(ISBLANK(INDIRECT("R9.Web!D"&amp;SUM(18,38*3,19))),"",INDIRECT("R9.Web!D"&amp;SUM(18,38*3,19))))</f>
        <v>N/A</v>
      </c>
      <c r="AN38" s="215" t="str" cm="1">
        <f t="array" aca="1" ref="AN38" ca="1">IF($B38="","",IF(ISBLANK(INDIRECT("R9.Web!D"&amp;SUM(18,38*4,19))),"",INDIRECT("R9.Web!D"&amp;SUM(18,38*4,19))))</f>
        <v>N/A</v>
      </c>
      <c r="AO38" s="215" t="str" cm="1">
        <f t="array" aca="1" ref="AO38" ca="1">IF($B38="","",IF(ISBLANK(INDIRECT("R9.Web!D"&amp;SUM(18,38*5,19))),"",INDIRECT("R9.Web!D"&amp;SUM(18,38*5,19))))</f>
        <v>Falla</v>
      </c>
      <c r="AP38" s="215" t="str" cm="1">
        <f t="array" aca="1" ref="AP38" ca="1">IF($B38="","",IF(ISBLANK(INDIRECT("R9.Web!D"&amp;SUM(18,38*6,19))),"",INDIRECT("R9.Web!D"&amp;SUM(18,38*6,19))))</f>
        <v>Falla</v>
      </c>
      <c r="AQ38" s="215" t="str" cm="1">
        <f t="array" aca="1" ref="AQ38" ca="1">IF($B38="","",IF(ISBLANK(INDIRECT("R9.Web!D"&amp;SUM(18,38*7,19))),"",INDIRECT("R9.Web!D"&amp;SUM(18,38*7,19))))</f>
        <v>Falla</v>
      </c>
      <c r="AR38" s="215" t="str" cm="1">
        <f t="array" aca="1" ref="AR38" ca="1">IF($B38="","",IF(ISBLANK(INDIRECT("R9.Web!D"&amp;SUM(18,38*8,19))),"",INDIRECT("R9.Web!D"&amp;SUM(18,38*8,19))))</f>
        <v>Pasa</v>
      </c>
      <c r="AS38" s="215" t="str" cm="1">
        <f t="array" aca="1" ref="AS38" ca="1">IF($B38="","",IF(ISBLANK(INDIRECT("R9.Web!D"&amp;SUM(18,38*9,19))),"",INDIRECT("R9.Web!D"&amp;SUM(18,38*9,19))))</f>
        <v>N/A</v>
      </c>
      <c r="AT38" s="215" t="str" cm="1">
        <f t="array" aca="1" ref="AT38" ca="1">IF($B38="","",IF(ISBLANK(INDIRECT("R9.Web!D"&amp;SUM(18,38*10,19))),"",INDIRECT("R9.Web!D"&amp;SUM(18,38*10,19))))</f>
        <v>Pasa</v>
      </c>
      <c r="AU38" s="215" t="str" cm="1">
        <f t="array" aca="1" ref="AU38" ca="1">IF($B38="","",IF(ISBLANK(INDIRECT("R9.Web!D"&amp;SUM(18,38*11,19))),"",INDIRECT("R9.Web!D"&amp;SUM(18,38*11,19))))</f>
        <v>N/A</v>
      </c>
      <c r="AV38" s="215" t="str" cm="1">
        <f t="array" aca="1" ref="AV38" ca="1">IF($B38="","",IF(ISBLANK(INDIRECT("R9.Web!D"&amp;SUM(18,38*12,19))),"",INDIRECT("R9.Web!D"&amp;SUM(18,38*12,19))))</f>
        <v>Pasa</v>
      </c>
      <c r="AW38" s="215" t="str" cm="1">
        <f t="array" aca="1" ref="AW38" ca="1">IF($B38="","",IF(ISBLANK(INDIRECT("R9.Web!D"&amp;SUM(18,38*13,19))),"",INDIRECT("R9.Web!D"&amp;SUM(18,38*13,19))))</f>
        <v>Falla</v>
      </c>
      <c r="AX38" s="215" t="str" cm="1">
        <f t="array" aca="1" ref="AX38" ca="1">IF($B38="","",IF(ISBLANK(INDIRECT("R9.Web!D"&amp;SUM(18,38*14,19))),"",INDIRECT("R9.Web!D"&amp;SUM(18,38*14,19))))</f>
        <v>N/A</v>
      </c>
      <c r="AY38" s="215" t="str" cm="1">
        <f t="array" aca="1" ref="AY38" ca="1">IF($B38="","",IF(ISBLANK(INDIRECT("R9.Web!D"&amp;SUM(18,38*15,19))),"",INDIRECT("R9.Web!D"&amp;SUM(18,38*15,19))))</f>
        <v>Falla</v>
      </c>
      <c r="AZ38" s="215" t="str" cm="1">
        <f t="array" aca="1" ref="AZ38" ca="1">IF($B38="","",IF(ISBLANK(INDIRECT("R9.Web!D"&amp;SUM(18,38*16,19))),"",INDIRECT("R9.Web!D"&amp;SUM(18,38*16,19))))</f>
        <v>Falla</v>
      </c>
      <c r="BA38" s="215" t="str" cm="1">
        <f t="array" aca="1" ref="BA38" ca="1">IF($B38="","",IF(ISBLANK(INDIRECT("R9.Web!D"&amp;SUM(18,38*17,19))),"",INDIRECT("R9.Web!D"&amp;SUM(18,38*17,19))))</f>
        <v>Falla</v>
      </c>
      <c r="BB38" s="215" t="str" cm="1">
        <f t="array" aca="1" ref="BB38" ca="1">IF($B38="","",IF(ISBLANK(INDIRECT("R9.Web!D"&amp;SUM(18,38*18,19))),"",INDIRECT("R9.Web!D"&amp;SUM(18,38*18,19))))</f>
        <v>N/A</v>
      </c>
      <c r="BC38" s="215" t="str" cm="1">
        <f t="array" aca="1" ref="BC38" ca="1">IF($B38="","",IF(ISBLANK(INDIRECT("R9.Web!D"&amp;SUM(18,38*19,19))),"",INDIRECT("R9.Web!D"&amp;SUM(18,38*19,19))))</f>
        <v>Pasa</v>
      </c>
      <c r="BD38" s="215" t="str" cm="1">
        <f t="array" aca="1" ref="BD38" ca="1">IF($B38="","",IF(ISBLANK(INDIRECT("R9.Web!D"&amp;SUM(18,38*20,19))),"",INDIRECT("R9.Web!D"&amp;SUM(18,38*20,19))))</f>
        <v>Pasa</v>
      </c>
      <c r="BE38" s="215" t="str" cm="1">
        <f t="array" aca="1" ref="BE38" ca="1">IF($B38="","",IF(ISBLANK(INDIRECT("R9.Web!D"&amp;SUM(18,38*21,19))),"",INDIRECT("R9.Web!D"&amp;SUM(18,38*21,19))))</f>
        <v>Falla</v>
      </c>
      <c r="BF38" s="215" t="str" cm="1">
        <f t="array" aca="1" ref="BF38" ca="1">IF($B38="","",IF(ISBLANK(INDIRECT("R9.Web!D"&amp;SUM(18,38*22,19))),"",INDIRECT("R9.Web!D"&amp;SUM(18,38*22,19))))</f>
        <v>N/A</v>
      </c>
      <c r="BG38" s="215" t="str" cm="1">
        <f t="array" aca="1" ref="BG38" ca="1">IF($B38="","",IF(ISBLANK(INDIRECT("R9.Web!D"&amp;SUM(18,38*23,19))),"",INDIRECT("R9.Web!D"&amp;SUM(18,38*23,19))))</f>
        <v>N/A</v>
      </c>
      <c r="BH38" s="215" t="str" cm="1">
        <f t="array" aca="1" ref="BH38" ca="1">IF($B38="","",IF(ISBLANK(INDIRECT("R9.Web!D"&amp;SUM(18,38*24,19))),"",INDIRECT("R9.Web!D"&amp;SUM(18,38*24,19))))</f>
        <v>N/A</v>
      </c>
      <c r="BI38" s="215" t="str" cm="1">
        <f t="array" aca="1" ref="BI38" ca="1">IF($B38="","",IF(ISBLANK(INDIRECT("R9.Web!D"&amp;SUM(18,38*25,19))),"",INDIRECT("R9.Web!D"&amp;SUM(18,38*25,19))))</f>
        <v>Pasa</v>
      </c>
      <c r="BJ38" s="215" t="str" cm="1">
        <f t="array" aca="1" ref="BJ38" ca="1">IF($B38="","",IF(ISBLANK(INDIRECT("R9.Web!D"&amp;SUM(18,38*26,19))),"",INDIRECT("R9.Web!D"&amp;SUM(18,38*26,19))))</f>
        <v>Pasa</v>
      </c>
      <c r="BK38" s="215" t="str" cm="1">
        <f t="array" aca="1" ref="BK38" ca="1">IF($B38="","",IF(ISBLANK(INDIRECT("R9.Web!D"&amp;SUM(18,38*27,19))),"",INDIRECT("R9.Web!D"&amp;SUM(18,38*27,19))))</f>
        <v>Falla</v>
      </c>
      <c r="BL38" s="215" t="str" cm="1">
        <f t="array" aca="1" ref="BL38" ca="1">IF($B38="","",IF(ISBLANK(INDIRECT("R9.Web!D"&amp;SUM(18,38*28,19))),"",INDIRECT("R9.Web!D"&amp;SUM(18,38*28,19))))</f>
        <v>Falla</v>
      </c>
      <c r="BM38" s="215" t="str" cm="1">
        <f t="array" aca="1" ref="BM38" ca="1">IF($B38="","",IF(ISBLANK(INDIRECT("R9.Web!D"&amp;SUM(18,38*29,19))),"",INDIRECT("R9.Web!D"&amp;SUM(18,38*29,19))))</f>
        <v>Pasa</v>
      </c>
      <c r="BN38" s="215" t="str" cm="1">
        <f t="array" aca="1" ref="BN38" ca="1">IF($B38="","",IF(ISBLANK(INDIRECT("R9.Web!D"&amp;SUM(18,38*30,19))),"",INDIRECT("R9.Web!D"&amp;SUM(18,38*30,19))))</f>
        <v>Pasa</v>
      </c>
      <c r="BO38" s="215" t="str" cm="1">
        <f t="array" aca="1" ref="BO38" ca="1">IF($B38="","",IF(ISBLANK(INDIRECT("R9.Web!D"&amp;SUM(18,38*31,19))),"",INDIRECT("R9.Web!D"&amp;SUM(18,38*31,19))))</f>
        <v>Pasa</v>
      </c>
      <c r="BP38" s="215" t="str" cm="1">
        <f t="array" aca="1" ref="BP38" ca="1">IF($B38="","",IF(ISBLANK(INDIRECT("R9.Web!D"&amp;SUM(18,38*32,19))),"",INDIRECT("R9.Web!D"&amp;SUM(18,38*32,19))))</f>
        <v>N/A</v>
      </c>
      <c r="BQ38" s="215" t="str" cm="1">
        <f t="array" aca="1" ref="BQ38" ca="1">IF($B38="","",IF(ISBLANK(INDIRECT("R9.Web!D"&amp;SUM(18,38*33,19))),"",INDIRECT("R9.Web!D"&amp;SUM(18,38*33,19))))</f>
        <v>Pasa</v>
      </c>
      <c r="BR38" s="215" t="str" cm="1">
        <f t="array" aca="1" ref="BR38" ca="1">IF($B38="","",IF(ISBLANK(INDIRECT("R9.Web!D"&amp;SUM(18,38*34,19))),"",INDIRECT("R9.Web!D"&amp;SUM(18,38*34,19))))</f>
        <v>Falla</v>
      </c>
      <c r="BS38" s="215" t="str" cm="1">
        <f t="array" aca="1" ref="BS38" ca="1">IF($B38="","",IF(ISBLANK(INDIRECT("R9.Web!D"&amp;SUM(18,38*35,19))),"",INDIRECT("R9.Web!D"&amp;SUM(18,38*35,19))))</f>
        <v>N/A</v>
      </c>
      <c r="BT38" s="215" t="str" cm="1">
        <f t="array" aca="1" ref="BT38" ca="1">IF($B38="","",IF(ISBLANK(INDIRECT("R9.Web!D"&amp;SUM(18,38*36,19))),"",INDIRECT("R9.Web!D"&amp;SUM(18,38*36,19))))</f>
        <v>Pasa</v>
      </c>
      <c r="BU38" s="215" t="str" cm="1">
        <f t="array" aca="1" ref="BU38" ca="1">IF($B38="","",IF(ISBLANK(INDIRECT("R9.Web!D"&amp;SUM(18,38*37,19))),"",INDIRECT("R9.Web!D"&amp;SUM(18,38*37,19))))</f>
        <v>N/A</v>
      </c>
      <c r="BV38" s="215" t="str" cm="1">
        <f t="array" aca="1" ref="BV38" ca="1">IF($B38="","",IF(ISBLANK(INDIRECT("R9.Web!D"&amp;SUM(18,38*38,19))),"",INDIRECT("R9.Web!D"&amp;SUM(18,38*38,19))))</f>
        <v>Pasa</v>
      </c>
      <c r="BW38" s="215" t="str" cm="1">
        <f t="array" aca="1" ref="BW38" ca="1">IF($B38="","",IF(ISBLANK(INDIRECT("R9.Web!D"&amp;SUM(18,38*39,19))),"",INDIRECT("R9.Web!D"&amp;SUM(18,38*39,19))))</f>
        <v>Pasa</v>
      </c>
      <c r="BX38" s="215" t="str" cm="1">
        <f t="array" aca="1" ref="BX38" ca="1">IF($B38="","",IF(ISBLANK(INDIRECT("R9.Web!D"&amp;SUM(18,38*40,19))),"",INDIRECT("R9.Web!D"&amp;SUM(18,38*40,19))))</f>
        <v>Pasa</v>
      </c>
      <c r="BY38" s="215" t="str" cm="1">
        <f t="array" aca="1" ref="BY38" ca="1">IF($B38="","",IF(ISBLANK(INDIRECT("R9.Web!D"&amp;SUM(18,38*41,19))),"",INDIRECT("R9.Web!D"&amp;SUM(18,38*41,19))))</f>
        <v>Pasa</v>
      </c>
      <c r="BZ38" s="215" t="str" cm="1">
        <f t="array" aca="1" ref="BZ38" ca="1">IF($B38="","",IF(ISBLANK(INDIRECT("R9.Web!D"&amp;SUM(18,38*42,19))),"",INDIRECT("R9.Web!D"&amp;SUM(18,38*42,19))))</f>
        <v>N/A</v>
      </c>
      <c r="CA38" s="215" t="str" cm="1">
        <f t="array" aca="1" ref="CA38" ca="1">IF($B38="","",IF(ISBLANK(INDIRECT("R9.Web!D"&amp;SUM(18,38*43,19))),"",INDIRECT("R9.Web!D"&amp;SUM(18,38*43,19))))</f>
        <v>Pasa</v>
      </c>
      <c r="CB38" s="215" t="str" cm="1">
        <f t="array" aca="1" ref="CB38" ca="1">IF($B38="","",IF(ISBLANK(INDIRECT("R9.Web!D"&amp;SUM(18,38*44,19))),"",INDIRECT("R9.Web!D"&amp;SUM(18,38*44,19))))</f>
        <v>N/A</v>
      </c>
      <c r="CC38" s="215" t="str" cm="1">
        <f t="array" aca="1" ref="CC38" ca="1">IF($B38="","",IF(ISBLANK(INDIRECT("R9.Web!D"&amp;SUM(18,38*45,19))),"",INDIRECT("R9.Web!D"&amp;SUM(18,38*45,19))))</f>
        <v>N/A</v>
      </c>
      <c r="CD38" s="215" t="str" cm="1">
        <f t="array" aca="1" ref="CD38" ca="1">IF($B38="","",IF(ISBLANK(INDIRECT("R9.Web!D"&amp;SUM(18,38*46,19))),"",INDIRECT("R9.Web!D"&amp;SUM(18,38*46,19))))</f>
        <v>N/A</v>
      </c>
      <c r="CE38" s="215" t="str" cm="1">
        <f t="array" aca="1" ref="CE38" ca="1">IF($B38="","",IF(ISBLANK(INDIRECT("R9.Web!D"&amp;SUM(18,38*47,19))),"",INDIRECT("R9.Web!D"&amp;SUM(18,38*47,19))))</f>
        <v>Falla</v>
      </c>
      <c r="CF38" s="215" t="str" cm="1">
        <f t="array" aca="1" ref="CF38" ca="1">IF($B38="","",IF(ISBLANK(INDIRECT("R9.Web!D"&amp;SUM(18,38*48,19))),"",INDIRECT("R9.Web!D"&amp;SUM(18,38*48,19))))</f>
        <v>N/A</v>
      </c>
      <c r="CG38" s="215" t="str" cm="1">
        <f t="array" aca="1" ref="CG38" ca="1">IF($B38="","",IF(ISBLANK(INDIRECT("R9.Web!D"&amp;SUM(18,38*49,19))),"",INDIRECT("R9.Web!D"&amp;SUM(18,38*49,19))))</f>
        <v>Falla</v>
      </c>
      <c r="CH38" s="215" t="str" cm="1">
        <f t="array" aca="1" ref="CH38" ca="1">IF($B38="","",IF(ISBLANK(INDIRECT("R11.Software!D"&amp;SUM(18,38*0,19))),"",INDIRECT("R11.Software!D"&amp;SUM(18,38*0,19))))</f>
        <v>Pasa</v>
      </c>
      <c r="CI38" s="215" t="str" cm="1">
        <f t="array" aca="1" ref="CI38" ca="1">IF($B38="","",IF(ISBLANK(INDIRECT("R11.Software!D"&amp;SUM(18,38*1,19))),"",INDIRECT("R11.Software!D"&amp;SUM(18,38*1,19))))</f>
        <v>N/A</v>
      </c>
      <c r="CJ38" s="215" t="str" cm="1">
        <f t="array" aca="1" ref="CJ38" ca="1">IF($B38="","",IF(ISBLANK(INDIRECT("R11.Software!D"&amp;SUM(18,38*2,19))),"",INDIRECT("R11.Software!D"&amp;SUM(18,38*2,19))))</f>
        <v>N/A</v>
      </c>
      <c r="CK38" s="215" t="str" cm="1">
        <f t="array" aca="1" ref="CK38" ca="1">IF($B38="","",IF(ISBLANK(INDIRECT("R11.Software!D"&amp;SUM(18,38*3,19))),"",INDIRECT("R11.Software!D"&amp;SUM(18,38*3,19))))</f>
        <v>N/A</v>
      </c>
      <c r="CL38" s="215" t="str" cm="1">
        <f t="array" aca="1" ref="CL38" ca="1">IF($B38="","",IF(ISBLANK(INDIRECT("R11.Software!D"&amp;SUM(18,38*4,19))),"",INDIRECT("R11.Software!D"&amp;SUM(18,38*4,19))))</f>
        <v>N/A</v>
      </c>
      <c r="CM38" s="215" t="str" cm="1">
        <f t="array" aca="1" ref="CM38" ca="1">IF($B38="","",IF(ISBLANK(INDIRECT("R11.Software!D"&amp;SUM(18,38*5,19))),"",INDIRECT("R11.Software!D"&amp;SUM(18,38*5,19))))</f>
        <v>N/A</v>
      </c>
      <c r="CN38" s="215" t="str" cm="1">
        <f t="array" aca="1" ref="CN38" ca="1">IF($B38="","",IF(ISBLANK(INDIRECT("R12.ServiciosApoyo!D"&amp;SUM(18,38*0,19))),"",INDIRECT("R12.ServiciosApoyo!D"&amp;SUM(18,38*0,19))))</f>
        <v>N/A</v>
      </c>
      <c r="CO38" s="215" t="str" cm="1">
        <f t="array" aca="1" ref="CO38" ca="1">IF($B38="","",IF(ISBLANK(INDIRECT("R12.ServiciosApoyo!D"&amp;SUM(18,38*1,19))),"",INDIRECT("R12.ServiciosApoyo!D"&amp;SUM(18,38*1,19))))</f>
        <v>N/A</v>
      </c>
      <c r="CP38" s="215" t="str" cm="1">
        <f t="array" aca="1" ref="CP38" ca="1">IF($B38="","",IF(ISBLANK(INDIRECT("R12.ServiciosApoyo!D"&amp;SUM(18,38*2,19))),"",INDIRECT("R12.ServiciosApoyo!D"&amp;SUM(18,38*2,19))))</f>
        <v>N/A</v>
      </c>
      <c r="CQ38" s="215" t="str" cm="1">
        <f t="array" aca="1" ref="CQ38" ca="1">IF($B38="","",IF(ISBLANK(INDIRECT("R12.ServiciosApoyo!D"&amp;SUM(18,38*3,19))),"",INDIRECT("R12.ServiciosApoyo!D"&amp;SUM(18,38*3,19))))</f>
        <v>N/A</v>
      </c>
      <c r="CR38" s="215" t="str" cm="1">
        <f t="array" aca="1" ref="CR38" ca="1">IF($B38="","",IF(ISBLANK(INDIRECT("R12.ServiciosApoyo!D"&amp;SUM(18,38*4,19))),"",INDIRECT("R12.ServiciosApoyo!D"&amp;SUM(18,38*4,19))))</f>
        <v>N/A</v>
      </c>
      <c r="CU38" s="100"/>
      <c r="CV38" s="29"/>
      <c r="CW38" s="29"/>
      <c r="CX38" s="29"/>
    </row>
    <row r="39" spans="2:102" ht="20.5">
      <c r="B39" s="181" cm="1">
        <f t="array" ref="B39">IFERROR(INDEX('03.Muestra'!$B$8:$B$42,SMALL(IF("Página Web"='03.Muestra'!$D$8:$D$42,ROW('03.Muestra'!$B$8:$B$42)-MIN(ROW('03.Muestra'!$D$8:$D$42))+1,""),ROW()-19)),"")</f>
        <v>20</v>
      </c>
      <c r="C39" s="97" t="str" cm="1">
        <f t="array" ref="C39">IFERROR(INDEX('03.Muestra'!$C$8:$C$42,SMALL(IF("Página Web"='03.Muestra'!$D$8:$D$42,ROW('03.Muestra'!$C$8:$C$42)-MIN(ROW('03.Muestra'!$D$8:$D$42))+1,""),ROW()-19)),"")</f>
        <v>Accesibilidad</v>
      </c>
      <c r="D39" s="98" t="str" cm="1">
        <f t="array" ref="D39">IFERROR(INDEX('03.Muestra'!$F$8:$F$42,SMALL(IF("Página Web"='03.Muestra'!$D$8:$D$42,ROW('03.Muestra'!$F$8:$F$42)-MIN(ROW('03.Muestra'!$D$8:$D$42))+1,""),ROW()-19)),"")</f>
        <v>https://www.crtm.es/accesibilidad</v>
      </c>
      <c r="E39" s="215" t="str" cm="1">
        <f t="array" aca="1" ref="E39" ca="1">IF($B39="","",IF(ISBLANK(INDIRECT("R5.Genéricos!D"&amp;SUM(18,38*0,20))),"",INDIRECT("R5.Genéricos!D"&amp;SUM(18,38*0,20))))</f>
        <v>Pasa</v>
      </c>
      <c r="F39" s="215" t="str" cm="1">
        <f t="array" aca="1" ref="F39" ca="1">IF($B39="","",IF(ISBLANK(INDIRECT("R5.Genéricos!D"&amp;SUM(18,38*1,20))),"",INDIRECT("R5.Genéricos!D"&amp;SUM(18,38*1,20))))</f>
        <v>N/A</v>
      </c>
      <c r="G39" s="215" t="str" cm="1">
        <f t="array" aca="1" ref="G39" ca="1">IF($B39="","",IF(ISBLANK(INDIRECT("R5.Genéricos!D"&amp;SUM(18,38*2,20))),"",INDIRECT("R5.Genéricos!D"&amp;SUM(18,38*2,20))))</f>
        <v>N/A</v>
      </c>
      <c r="H39" s="215" t="str" cm="1">
        <f t="array" aca="1" ref="H39" ca="1">IF($B39="","",IF(ISBLANK(INDIRECT("R6.Voz!D"&amp;SUM(18,38*0,20))),"",INDIRECT("R6.Voz!D"&amp;SUM(18,38*0,20))))</f>
        <v>N/A</v>
      </c>
      <c r="I39" s="215" t="str" cm="1">
        <f t="array" aca="1" ref="I39" ca="1">IF($B39="","",IF(ISBLANK(INDIRECT("R6.Voz!D"&amp;SUM(18,38*1,20))),"",INDIRECT("R6.Voz!D"&amp;SUM(18,38*1,20))))</f>
        <v>N/A</v>
      </c>
      <c r="J39" s="215" t="str" cm="1">
        <f t="array" aca="1" ref="J39" ca="1">IF($B39="","",IF(ISBLANK(INDIRECT("R6.Voz!D"&amp;SUM(18,38*2,20))),"",INDIRECT("R6.Voz!D"&amp;SUM(18,38*2,20))))</f>
        <v>N/A</v>
      </c>
      <c r="K39" s="215" t="str" cm="1">
        <f t="array" aca="1" ref="K39" ca="1">IF($B39="","",IF(ISBLANK(INDIRECT("R6.Voz!D"&amp;SUM(18,38*3,20))),"",INDIRECT("R6.Voz!D"&amp;SUM(18,38*3,20))))</f>
        <v>N/A</v>
      </c>
      <c r="L39" s="215" t="str" cm="1">
        <f t="array" aca="1" ref="L39" ca="1">IF($B39="","",IF(ISBLANK(INDIRECT("R6.Voz!D"&amp;SUM(18,38*4,20))),"",INDIRECT("R6.Voz!D"&amp;SUM(18,38*4,20))))</f>
        <v>N/A</v>
      </c>
      <c r="M39" s="215" t="str" cm="1">
        <f t="array" aca="1" ref="M39" ca="1">IF($B39="","",IF(ISBLANK(INDIRECT("R6.Voz!D"&amp;SUM(18,38*5,20))),"",INDIRECT("R6.Voz!D"&amp;SUM(18,38*5,20))))</f>
        <v>N/A</v>
      </c>
      <c r="N39" s="215" t="str" cm="1">
        <f t="array" aca="1" ref="N39" ca="1">IF($B39="","",IF(ISBLANK(INDIRECT("R6.Voz!D"&amp;SUM(18,38*6,20))),"",INDIRECT("R6.Voz!D"&amp;SUM(18,38*6,20))))</f>
        <v>N/A</v>
      </c>
      <c r="O39" s="215" t="str" cm="1">
        <f t="array" aca="1" ref="O39" ca="1">IF($B39="","",IF(ISBLANK(INDIRECT("R6.Voz!D"&amp;SUM(18,38*7,20))),"",INDIRECT("R6.Voz!D"&amp;SUM(18,38*7,20))))</f>
        <v>N/A</v>
      </c>
      <c r="P39" s="215" t="str" cm="1">
        <f t="array" aca="1" ref="P39" ca="1">IF($B39="","",IF(ISBLANK(INDIRECT("R6.Voz!D"&amp;SUM(18,38*8,20))),"",INDIRECT("R6.Voz!D"&amp;SUM(18,38*8,20))))</f>
        <v>N/A</v>
      </c>
      <c r="Q39" s="215" t="str" cm="1">
        <f t="array" aca="1" ref="Q39" ca="1">IF($B39="","",IF(ISBLANK(INDIRECT("R6.Voz!D"&amp;SUM(18,38*9,20))),"",INDIRECT("R6.Voz!D"&amp;SUM(18,38*9,20))))</f>
        <v>N/A</v>
      </c>
      <c r="R39" s="215" t="str" cm="1">
        <f t="array" aca="1" ref="R39" ca="1">IF($B39="","",IF(ISBLANK(INDIRECT("R6.Voz!D"&amp;SUM(18,38*10,20))),"",INDIRECT("R6.Voz!D"&amp;SUM(18,38*10,20))))</f>
        <v>N/A</v>
      </c>
      <c r="S39" s="215" t="str" cm="1">
        <f t="array" aca="1" ref="S39" ca="1">IF($B39="","",IF(ISBLANK(INDIRECT("R6.Voz!D"&amp;SUM(18,38*11,20))),"",INDIRECT("R6.Voz!D"&amp;SUM(18,38*11,20))))</f>
        <v>N/A</v>
      </c>
      <c r="T39" s="215" t="str" cm="1">
        <f t="array" aca="1" ref="T39" ca="1">IF($B39="","",IF(ISBLANK(INDIRECT("R6.Voz!D"&amp;SUM(18,38*12,20))),"",INDIRECT("R6.Voz!D"&amp;SUM(18,38*12,20))))</f>
        <v>N/A</v>
      </c>
      <c r="U39" s="215" t="str" cm="1">
        <f t="array" aca="1" ref="U39" ca="1">IF($B39="","",IF(ISBLANK(INDIRECT("R6.Voz!D"&amp;SUM(18,38*13,20))),"",INDIRECT("R6.Voz!D"&amp;SUM(18,38*13,20))))</f>
        <v>N/A</v>
      </c>
      <c r="V39" s="215" t="str" cm="1">
        <f t="array" aca="1" ref="V39" ca="1">IF($B39="","",IF(ISBLANK(INDIRECT("R6.Voz!D"&amp;SUM(18,38*14,20))),"",INDIRECT("R6.Voz!D"&amp;SUM(18,38*14,20))))</f>
        <v>N/A</v>
      </c>
      <c r="W39" s="215" t="str" cm="1">
        <f t="array" aca="1" ref="W39" ca="1">IF($B39="","",IF(ISBLANK(INDIRECT("R6.Voz!D"&amp;SUM(18,38*15,20))),"",INDIRECT("R6.Voz!D"&amp;SUM(18,38*15,20))))</f>
        <v>N/A</v>
      </c>
      <c r="X39" s="215" t="str" cm="1">
        <f t="array" aca="1" ref="X39" ca="1">IF($B39="","",IF(ISBLANK(INDIRECT("R6.Voz!D"&amp;SUM(18,38*16,20))),"",INDIRECT("R6.Voz!D"&amp;SUM(18,38*16,20))))</f>
        <v>N/A</v>
      </c>
      <c r="Y39" s="215" t="str" cm="1">
        <f t="array" aca="1" ref="Y39" ca="1">IF($B39="","",IF(ISBLANK(INDIRECT("R6.Voz!D"&amp;SUM(18,38*17,20))),"",INDIRECT("R6.Voz!D"&amp;SUM(18,38*17,20))))</f>
        <v>N/A</v>
      </c>
      <c r="Z39" s="215" t="str" cm="1">
        <f t="array" aca="1" ref="Z39" ca="1">IF($B39="","",IF(ISBLANK(INDIRECT("R6.Voz!D"&amp;SUM(18,38*18,20))),"",INDIRECT("R6.Voz!D"&amp;SUM(18,38*18,20))))</f>
        <v>N/A</v>
      </c>
      <c r="AA39" s="215" t="str" cm="1">
        <f t="array" aca="1" ref="AA39" ca="1">IF($B39="","",IF(ISBLANK(INDIRECT("R7.Video!D"&amp;SUM(18,38*0,20))),"",INDIRECT("R7.Video!D"&amp;SUM(18,38*0,20))))</f>
        <v>N/A</v>
      </c>
      <c r="AB39" s="215" t="str" cm="1">
        <f t="array" aca="1" ref="AB39" ca="1">IF($B39="","",IF(ISBLANK(INDIRECT("R7.Video!D"&amp;SUM(18,38*1,20))),"",INDIRECT("R7.Video!D"&amp;SUM(18,38*1,20))))</f>
        <v>N/A</v>
      </c>
      <c r="AC39" s="215" t="str" cm="1">
        <f t="array" aca="1" ref="AC39" ca="1">IF($B39="","",IF(ISBLANK(INDIRECT("R7.Video!D"&amp;SUM(18,38*2,20))),"",INDIRECT("R7.Video!D"&amp;SUM(18,38*2,20))))</f>
        <v>N/A</v>
      </c>
      <c r="AD39" s="215" t="str" cm="1">
        <f t="array" aca="1" ref="AD39" ca="1">IF($B39="","",IF(ISBLANK(INDIRECT("R7.Video!D"&amp;SUM(18,38*3,20))),"",INDIRECT("R7.Video!D"&amp;SUM(18,38*3,20))))</f>
        <v>N/A</v>
      </c>
      <c r="AE39" s="215" t="str" cm="1">
        <f t="array" aca="1" ref="AE39" ca="1">IF($B39="","",IF(ISBLANK(INDIRECT("R7.Video!D"&amp;SUM(18,38*4,20))),"",INDIRECT("R7.Video!D"&amp;SUM(18,38*4,20))))</f>
        <v>N/A</v>
      </c>
      <c r="AF39" s="215" t="str" cm="1">
        <f t="array" aca="1" ref="AF39" ca="1">IF($B39="","",IF(ISBLANK(INDIRECT("R7.Video!D"&amp;SUM(18,38*5,20))),"",INDIRECT("R7.Video!D"&amp;SUM(18,38*5,20))))</f>
        <v>N/A</v>
      </c>
      <c r="AG39" s="215" t="str" cm="1">
        <f t="array" aca="1" ref="AG39" ca="1">IF($B39="","",IF(ISBLANK(INDIRECT("R7.Video!D"&amp;SUM(18,38*6,20))),"",INDIRECT("R7.Video!D"&amp;SUM(18,38*6,20))))</f>
        <v>N/A</v>
      </c>
      <c r="AH39" s="215" t="str" cm="1">
        <f t="array" aca="1" ref="AH39" ca="1">IF($B39="","",IF(ISBLANK(INDIRECT("R7.Video!D"&amp;SUM(18,38*7,20))),"",INDIRECT("R7.Video!D"&amp;SUM(18,38*7,20))))</f>
        <v>N/A</v>
      </c>
      <c r="AI39" s="215" t="str" cm="1">
        <f t="array" aca="1" ref="AI39" ca="1">IF($B39="","",IF(ISBLANK(INDIRECT("R7.Video!D"&amp;SUM(18,38*8,20))),"",INDIRECT("R7.Video!D"&amp;SUM(18,38*8,20))))</f>
        <v>N/A</v>
      </c>
      <c r="AJ39" s="215" t="str" cm="1">
        <f t="array" aca="1" ref="AJ39" ca="1">IF($B39="","",IF(ISBLANK(INDIRECT("R9.Web!D"&amp;SUM(18,38*0,20))),"",INDIRECT("R9.Web!D"&amp;SUM(18,38*0,20))))</f>
        <v>Falla</v>
      </c>
      <c r="AK39" s="215" t="str" cm="1">
        <f t="array" aca="1" ref="AK39" ca="1">IF($B39="","",IF(ISBLANK(INDIRECT("R9.Web!D"&amp;SUM(18,38*1,20))),"",INDIRECT("R9.Web!D"&amp;SUM(18,38*1,20))))</f>
        <v>N/A</v>
      </c>
      <c r="AL39" s="215" t="str" cm="1">
        <f t="array" aca="1" ref="AL39" ca="1">IF($B39="","",IF(ISBLANK(INDIRECT("R9.Web!D"&amp;SUM(18,38*2,20))),"",INDIRECT("R9.Web!D"&amp;SUM(18,38*2,20))))</f>
        <v>N/A</v>
      </c>
      <c r="AM39" s="215" t="str" cm="1">
        <f t="array" aca="1" ref="AM39" ca="1">IF($B39="","",IF(ISBLANK(INDIRECT("R9.Web!D"&amp;SUM(18,38*3,20))),"",INDIRECT("R9.Web!D"&amp;SUM(18,38*3,20))))</f>
        <v>N/A</v>
      </c>
      <c r="AN39" s="215" t="str" cm="1">
        <f t="array" aca="1" ref="AN39" ca="1">IF($B39="","",IF(ISBLANK(INDIRECT("R9.Web!D"&amp;SUM(18,38*4,20))),"",INDIRECT("R9.Web!D"&amp;SUM(18,38*4,20))))</f>
        <v>N/A</v>
      </c>
      <c r="AO39" s="215" t="str" cm="1">
        <f t="array" aca="1" ref="AO39" ca="1">IF($B39="","",IF(ISBLANK(INDIRECT("R9.Web!D"&amp;SUM(18,38*5,20))),"",INDIRECT("R9.Web!D"&amp;SUM(18,38*5,20))))</f>
        <v>Falla</v>
      </c>
      <c r="AP39" s="215" t="str" cm="1">
        <f t="array" aca="1" ref="AP39" ca="1">IF($B39="","",IF(ISBLANK(INDIRECT("R9.Web!D"&amp;SUM(18,38*6,20))),"",INDIRECT("R9.Web!D"&amp;SUM(18,38*6,20))))</f>
        <v>Falla</v>
      </c>
      <c r="AQ39" s="215" t="str" cm="1">
        <f t="array" aca="1" ref="AQ39" ca="1">IF($B39="","",IF(ISBLANK(INDIRECT("R9.Web!D"&amp;SUM(18,38*7,20))),"",INDIRECT("R9.Web!D"&amp;SUM(18,38*7,20))))</f>
        <v>Falla</v>
      </c>
      <c r="AR39" s="215" t="str" cm="1">
        <f t="array" aca="1" ref="AR39" ca="1">IF($B39="","",IF(ISBLANK(INDIRECT("R9.Web!D"&amp;SUM(18,38*8,20))),"",INDIRECT("R9.Web!D"&amp;SUM(18,38*8,20))))</f>
        <v>Pasa</v>
      </c>
      <c r="AS39" s="215" t="str" cm="1">
        <f t="array" aca="1" ref="AS39" ca="1">IF($B39="","",IF(ISBLANK(INDIRECT("R9.Web!D"&amp;SUM(18,38*9,20))),"",INDIRECT("R9.Web!D"&amp;SUM(18,38*9,20))))</f>
        <v>N/A</v>
      </c>
      <c r="AT39" s="215" t="str" cm="1">
        <f t="array" aca="1" ref="AT39" ca="1">IF($B39="","",IF(ISBLANK(INDIRECT("R9.Web!D"&amp;SUM(18,38*10,20))),"",INDIRECT("R9.Web!D"&amp;SUM(18,38*10,20))))</f>
        <v>Falla</v>
      </c>
      <c r="AU39" s="215" t="str" cm="1">
        <f t="array" aca="1" ref="AU39" ca="1">IF($B39="","",IF(ISBLANK(INDIRECT("R9.Web!D"&amp;SUM(18,38*11,20))),"",INDIRECT("R9.Web!D"&amp;SUM(18,38*11,20))))</f>
        <v>N/A</v>
      </c>
      <c r="AV39" s="215" t="str" cm="1">
        <f t="array" aca="1" ref="AV39" ca="1">IF($B39="","",IF(ISBLANK(INDIRECT("R9.Web!D"&amp;SUM(18,38*12,20))),"",INDIRECT("R9.Web!D"&amp;SUM(18,38*12,20))))</f>
        <v>Pasa</v>
      </c>
      <c r="AW39" s="215" t="str" cm="1">
        <f t="array" aca="1" ref="AW39" ca="1">IF($B39="","",IF(ISBLANK(INDIRECT("R9.Web!D"&amp;SUM(18,38*13,20))),"",INDIRECT("R9.Web!D"&amp;SUM(18,38*13,20))))</f>
        <v>Falla</v>
      </c>
      <c r="AX39" s="215" t="str" cm="1">
        <f t="array" aca="1" ref="AX39" ca="1">IF($B39="","",IF(ISBLANK(INDIRECT("R9.Web!D"&amp;SUM(18,38*14,20))),"",INDIRECT("R9.Web!D"&amp;SUM(18,38*14,20))))</f>
        <v>N/A</v>
      </c>
      <c r="AY39" s="215" t="str" cm="1">
        <f t="array" aca="1" ref="AY39" ca="1">IF($B39="","",IF(ISBLANK(INDIRECT("R9.Web!D"&amp;SUM(18,38*15,20))),"",INDIRECT("R9.Web!D"&amp;SUM(18,38*15,20))))</f>
        <v>Falla</v>
      </c>
      <c r="AZ39" s="215" t="str" cm="1">
        <f t="array" aca="1" ref="AZ39" ca="1">IF($B39="","",IF(ISBLANK(INDIRECT("R9.Web!D"&amp;SUM(18,38*16,20))),"",INDIRECT("R9.Web!D"&amp;SUM(18,38*16,20))))</f>
        <v>Falla</v>
      </c>
      <c r="BA39" s="215" t="str" cm="1">
        <f t="array" aca="1" ref="BA39" ca="1">IF($B39="","",IF(ISBLANK(INDIRECT("R9.Web!D"&amp;SUM(18,38*17,20))),"",INDIRECT("R9.Web!D"&amp;SUM(18,38*17,20))))</f>
        <v>Falla</v>
      </c>
      <c r="BB39" s="215" t="str" cm="1">
        <f t="array" aca="1" ref="BB39" ca="1">IF($B39="","",IF(ISBLANK(INDIRECT("R9.Web!D"&amp;SUM(18,38*18,20))),"",INDIRECT("R9.Web!D"&amp;SUM(18,38*18,20))))</f>
        <v>N/A</v>
      </c>
      <c r="BC39" s="215" t="str" cm="1">
        <f t="array" aca="1" ref="BC39" ca="1">IF($B39="","",IF(ISBLANK(INDIRECT("R9.Web!D"&amp;SUM(18,38*19,20))),"",INDIRECT("R9.Web!D"&amp;SUM(18,38*19,20))))</f>
        <v>Pasa</v>
      </c>
      <c r="BD39" s="215" t="str" cm="1">
        <f t="array" aca="1" ref="BD39" ca="1">IF($B39="","",IF(ISBLANK(INDIRECT("R9.Web!D"&amp;SUM(18,38*20,20))),"",INDIRECT("R9.Web!D"&amp;SUM(18,38*20,20))))</f>
        <v>Pasa</v>
      </c>
      <c r="BE39" s="215" t="str" cm="1">
        <f t="array" aca="1" ref="BE39" ca="1">IF($B39="","",IF(ISBLANK(INDIRECT("R9.Web!D"&amp;SUM(18,38*21,20))),"",INDIRECT("R9.Web!D"&amp;SUM(18,38*21,20))))</f>
        <v>Falla</v>
      </c>
      <c r="BF39" s="215" t="str" cm="1">
        <f t="array" aca="1" ref="BF39" ca="1">IF($B39="","",IF(ISBLANK(INDIRECT("R9.Web!D"&amp;SUM(18,38*22,20))),"",INDIRECT("R9.Web!D"&amp;SUM(18,38*22,20))))</f>
        <v>N/A</v>
      </c>
      <c r="BG39" s="215" t="str" cm="1">
        <f t="array" aca="1" ref="BG39" ca="1">IF($B39="","",IF(ISBLANK(INDIRECT("R9.Web!D"&amp;SUM(18,38*23,20))),"",INDIRECT("R9.Web!D"&amp;SUM(18,38*23,20))))</f>
        <v>N/A</v>
      </c>
      <c r="BH39" s="215" t="str" cm="1">
        <f t="array" aca="1" ref="BH39" ca="1">IF($B39="","",IF(ISBLANK(INDIRECT("R9.Web!D"&amp;SUM(18,38*24,20))),"",INDIRECT("R9.Web!D"&amp;SUM(18,38*24,20))))</f>
        <v>N/A</v>
      </c>
      <c r="BI39" s="215" t="str" cm="1">
        <f t="array" aca="1" ref="BI39" ca="1">IF($B39="","",IF(ISBLANK(INDIRECT("R9.Web!D"&amp;SUM(18,38*25,20))),"",INDIRECT("R9.Web!D"&amp;SUM(18,38*25,20))))</f>
        <v>Pasa</v>
      </c>
      <c r="BJ39" s="215" t="str" cm="1">
        <f t="array" aca="1" ref="BJ39" ca="1">IF($B39="","",IF(ISBLANK(INDIRECT("R9.Web!D"&amp;SUM(18,38*26,20))),"",INDIRECT("R9.Web!D"&amp;SUM(18,38*26,20))))</f>
        <v>Pasa</v>
      </c>
      <c r="BK39" s="215" t="str" cm="1">
        <f t="array" aca="1" ref="BK39" ca="1">IF($B39="","",IF(ISBLANK(INDIRECT("R9.Web!D"&amp;SUM(18,38*27,20))),"",INDIRECT("R9.Web!D"&amp;SUM(18,38*27,20))))</f>
        <v>Falla</v>
      </c>
      <c r="BL39" s="215" t="str" cm="1">
        <f t="array" aca="1" ref="BL39" ca="1">IF($B39="","",IF(ISBLANK(INDIRECT("R9.Web!D"&amp;SUM(18,38*28,20))),"",INDIRECT("R9.Web!D"&amp;SUM(18,38*28,20))))</f>
        <v>Falla</v>
      </c>
      <c r="BM39" s="215" t="str" cm="1">
        <f t="array" aca="1" ref="BM39" ca="1">IF($B39="","",IF(ISBLANK(INDIRECT("R9.Web!D"&amp;SUM(18,38*29,20))),"",INDIRECT("R9.Web!D"&amp;SUM(18,38*29,20))))</f>
        <v>Pasa</v>
      </c>
      <c r="BN39" s="215" t="str" cm="1">
        <f t="array" aca="1" ref="BN39" ca="1">IF($B39="","",IF(ISBLANK(INDIRECT("R9.Web!D"&amp;SUM(18,38*30,20))),"",INDIRECT("R9.Web!D"&amp;SUM(18,38*30,20))))</f>
        <v>Pasa</v>
      </c>
      <c r="BO39" s="215" t="str" cm="1">
        <f t="array" aca="1" ref="BO39" ca="1">IF($B39="","",IF(ISBLANK(INDIRECT("R9.Web!D"&amp;SUM(18,38*31,20))),"",INDIRECT("R9.Web!D"&amp;SUM(18,38*31,20))))</f>
        <v>Pasa</v>
      </c>
      <c r="BP39" s="215" t="str" cm="1">
        <f t="array" aca="1" ref="BP39" ca="1">IF($B39="","",IF(ISBLANK(INDIRECT("R9.Web!D"&amp;SUM(18,38*32,20))),"",INDIRECT("R9.Web!D"&amp;SUM(18,38*32,20))))</f>
        <v>N/A</v>
      </c>
      <c r="BQ39" s="215" t="str" cm="1">
        <f t="array" aca="1" ref="BQ39" ca="1">IF($B39="","",IF(ISBLANK(INDIRECT("R9.Web!D"&amp;SUM(18,38*33,20))),"",INDIRECT("R9.Web!D"&amp;SUM(18,38*33,20))))</f>
        <v>Pasa</v>
      </c>
      <c r="BR39" s="215" t="str" cm="1">
        <f t="array" aca="1" ref="BR39" ca="1">IF($B39="","",IF(ISBLANK(INDIRECT("R9.Web!D"&amp;SUM(18,38*34,20))),"",INDIRECT("R9.Web!D"&amp;SUM(18,38*34,20))))</f>
        <v>Falla</v>
      </c>
      <c r="BS39" s="215" t="str" cm="1">
        <f t="array" aca="1" ref="BS39" ca="1">IF($B39="","",IF(ISBLANK(INDIRECT("R9.Web!D"&amp;SUM(18,38*35,20))),"",INDIRECT("R9.Web!D"&amp;SUM(18,38*35,20))))</f>
        <v>N/A</v>
      </c>
      <c r="BT39" s="215" t="str" cm="1">
        <f t="array" aca="1" ref="BT39" ca="1">IF($B39="","",IF(ISBLANK(INDIRECT("R9.Web!D"&amp;SUM(18,38*36,20))),"",INDIRECT("R9.Web!D"&amp;SUM(18,38*36,20))))</f>
        <v>Pasa</v>
      </c>
      <c r="BU39" s="215" t="str" cm="1">
        <f t="array" aca="1" ref="BU39" ca="1">IF($B39="","",IF(ISBLANK(INDIRECT("R9.Web!D"&amp;SUM(18,38*37,20))),"",INDIRECT("R9.Web!D"&amp;SUM(18,38*37,20))))</f>
        <v>N/A</v>
      </c>
      <c r="BV39" s="215" t="str" cm="1">
        <f t="array" aca="1" ref="BV39" ca="1">IF($B39="","",IF(ISBLANK(INDIRECT("R9.Web!D"&amp;SUM(18,38*38,20))),"",INDIRECT("R9.Web!D"&amp;SUM(18,38*38,20))))</f>
        <v>Pasa</v>
      </c>
      <c r="BW39" s="215" t="str" cm="1">
        <f t="array" aca="1" ref="BW39" ca="1">IF($B39="","",IF(ISBLANK(INDIRECT("R9.Web!D"&amp;SUM(18,38*39,20))),"",INDIRECT("R9.Web!D"&amp;SUM(18,38*39,20))))</f>
        <v>Pasa</v>
      </c>
      <c r="BX39" s="215" t="str" cm="1">
        <f t="array" aca="1" ref="BX39" ca="1">IF($B39="","",IF(ISBLANK(INDIRECT("R9.Web!D"&amp;SUM(18,38*40,20))),"",INDIRECT("R9.Web!D"&amp;SUM(18,38*40,20))))</f>
        <v>Pasa</v>
      </c>
      <c r="BY39" s="215" t="str" cm="1">
        <f t="array" aca="1" ref="BY39" ca="1">IF($B39="","",IF(ISBLANK(INDIRECT("R9.Web!D"&amp;SUM(18,38*41,20))),"",INDIRECT("R9.Web!D"&amp;SUM(18,38*41,20))))</f>
        <v>Pasa</v>
      </c>
      <c r="BZ39" s="215" t="str" cm="1">
        <f t="array" aca="1" ref="BZ39" ca="1">IF($B39="","",IF(ISBLANK(INDIRECT("R9.Web!D"&amp;SUM(18,38*42,20))),"",INDIRECT("R9.Web!D"&amp;SUM(18,38*42,20))))</f>
        <v>N/A</v>
      </c>
      <c r="CA39" s="215" t="str" cm="1">
        <f t="array" aca="1" ref="CA39" ca="1">IF($B39="","",IF(ISBLANK(INDIRECT("R9.Web!D"&amp;SUM(18,38*43,20))),"",INDIRECT("R9.Web!D"&amp;SUM(18,38*43,20))))</f>
        <v>Pasa</v>
      </c>
      <c r="CB39" s="215" t="str" cm="1">
        <f t="array" aca="1" ref="CB39" ca="1">IF($B39="","",IF(ISBLANK(INDIRECT("R9.Web!D"&amp;SUM(18,38*44,20))),"",INDIRECT("R9.Web!D"&amp;SUM(18,38*44,20))))</f>
        <v>N/A</v>
      </c>
      <c r="CC39" s="215" t="str" cm="1">
        <f t="array" aca="1" ref="CC39" ca="1">IF($B39="","",IF(ISBLANK(INDIRECT("R9.Web!D"&amp;SUM(18,38*45,20))),"",INDIRECT("R9.Web!D"&amp;SUM(18,38*45,20))))</f>
        <v>N/A</v>
      </c>
      <c r="CD39" s="215" t="str" cm="1">
        <f t="array" aca="1" ref="CD39" ca="1">IF($B39="","",IF(ISBLANK(INDIRECT("R9.Web!D"&amp;SUM(18,38*46,20))),"",INDIRECT("R9.Web!D"&amp;SUM(18,38*46,20))))</f>
        <v>N/A</v>
      </c>
      <c r="CE39" s="215" t="str" cm="1">
        <f t="array" aca="1" ref="CE39" ca="1">IF($B39="","",IF(ISBLANK(INDIRECT("R9.Web!D"&amp;SUM(18,38*47,20))),"",INDIRECT("R9.Web!D"&amp;SUM(18,38*47,20))))</f>
        <v>Falla</v>
      </c>
      <c r="CF39" s="215" t="str" cm="1">
        <f t="array" aca="1" ref="CF39" ca="1">IF($B39="","",IF(ISBLANK(INDIRECT("R9.Web!D"&amp;SUM(18,38*48,20))),"",INDIRECT("R9.Web!D"&amp;SUM(18,38*48,20))))</f>
        <v>N/A</v>
      </c>
      <c r="CG39" s="215" t="str" cm="1">
        <f t="array" aca="1" ref="CG39" ca="1">IF($B39="","",IF(ISBLANK(INDIRECT("R9.Web!D"&amp;SUM(18,38*49,20))),"",INDIRECT("R9.Web!D"&amp;SUM(18,38*49,20))))</f>
        <v>Falla</v>
      </c>
      <c r="CH39" s="215" t="str" cm="1">
        <f t="array" aca="1" ref="CH39" ca="1">IF($B39="","",IF(ISBLANK(INDIRECT("R11.Software!D"&amp;SUM(18,38*0,20))),"",INDIRECT("R11.Software!D"&amp;SUM(18,38*0,20))))</f>
        <v>Pasa</v>
      </c>
      <c r="CI39" s="215" t="str" cm="1">
        <f t="array" aca="1" ref="CI39" ca="1">IF($B39="","",IF(ISBLANK(INDIRECT("R11.Software!D"&amp;SUM(18,38*1,20))),"",INDIRECT("R11.Software!D"&amp;SUM(18,38*1,20))))</f>
        <v>N/A</v>
      </c>
      <c r="CJ39" s="215" t="str" cm="1">
        <f t="array" aca="1" ref="CJ39" ca="1">IF($B39="","",IF(ISBLANK(INDIRECT("R11.Software!D"&amp;SUM(18,38*2,20))),"",INDIRECT("R11.Software!D"&amp;SUM(18,38*2,20))))</f>
        <v>N/A</v>
      </c>
      <c r="CK39" s="215" t="str" cm="1">
        <f t="array" aca="1" ref="CK39" ca="1">IF($B39="","",IF(ISBLANK(INDIRECT("R11.Software!D"&amp;SUM(18,38*3,20))),"",INDIRECT("R11.Software!D"&amp;SUM(18,38*3,20))))</f>
        <v>N/A</v>
      </c>
      <c r="CL39" s="215" t="str" cm="1">
        <f t="array" aca="1" ref="CL39" ca="1">IF($B39="","",IF(ISBLANK(INDIRECT("R11.Software!D"&amp;SUM(18,38*4,20))),"",INDIRECT("R11.Software!D"&amp;SUM(18,38*4,20))))</f>
        <v>N/A</v>
      </c>
      <c r="CM39" s="215" t="str" cm="1">
        <f t="array" aca="1" ref="CM39" ca="1">IF($B39="","",IF(ISBLANK(INDIRECT("R11.Software!D"&amp;SUM(18,38*5,20))),"",INDIRECT("R11.Software!D"&amp;SUM(18,38*5,20))))</f>
        <v>N/A</v>
      </c>
      <c r="CN39" s="215" t="str" cm="1">
        <f t="array" aca="1" ref="CN39" ca="1">IF($B39="","",IF(ISBLANK(INDIRECT("R12.ServiciosApoyo!D"&amp;SUM(18,38*0,20))),"",INDIRECT("R12.ServiciosApoyo!D"&amp;SUM(18,38*0,20))))</f>
        <v>Pasa</v>
      </c>
      <c r="CO39" s="215" t="str" cm="1">
        <f t="array" aca="1" ref="CO39" ca="1">IF($B39="","",IF(ISBLANK(INDIRECT("R12.ServiciosApoyo!D"&amp;SUM(18,38*1,20))),"",INDIRECT("R12.ServiciosApoyo!D"&amp;SUM(18,38*1,20))))</f>
        <v>Falla</v>
      </c>
      <c r="CP39" s="215" t="str" cm="1">
        <f t="array" aca="1" ref="CP39" ca="1">IF($B39="","",IF(ISBLANK(INDIRECT("R12.ServiciosApoyo!D"&amp;SUM(18,38*2,20))),"",INDIRECT("R12.ServiciosApoyo!D"&amp;SUM(18,38*2,20))))</f>
        <v>Pasa</v>
      </c>
      <c r="CQ39" s="215" t="str" cm="1">
        <f t="array" aca="1" ref="CQ39" ca="1">IF($B39="","",IF(ISBLANK(INDIRECT("R12.ServiciosApoyo!D"&amp;SUM(18,38*3,20))),"",INDIRECT("R12.ServiciosApoyo!D"&amp;SUM(18,38*3,20))))</f>
        <v>Pasa</v>
      </c>
      <c r="CR39" s="215" t="str" cm="1">
        <f t="array" aca="1" ref="CR39" ca="1">IF($B39="","",IF(ISBLANK(INDIRECT("R12.ServiciosApoyo!D"&amp;SUM(18,38*4,20))),"",INDIRECT("R12.ServiciosApoyo!D"&amp;SUM(18,38*4,20))))</f>
        <v>Falla</v>
      </c>
      <c r="CU39" s="100"/>
      <c r="CV39" s="29"/>
      <c r="CW39" s="29"/>
      <c r="CX39" s="29"/>
    </row>
    <row r="40" spans="2:102" ht="20.5">
      <c r="B40" s="181" cm="1">
        <f t="array" ref="B40">IFERROR(INDEX('03.Muestra'!$B$8:$B$42,SMALL(IF("Página Web"='03.Muestra'!$D$8:$D$42,ROW('03.Muestra'!$B$8:$B$42)-MIN(ROW('03.Muestra'!$D$8:$D$42))+1,""),ROW()-19)),"")</f>
        <v>21</v>
      </c>
      <c r="C40" s="97" t="str" cm="1">
        <f t="array" ref="C40">IFERROR(INDEX('03.Muestra'!$C$8:$C$42,SMALL(IF("Página Web"='03.Muestra'!$D$8:$D$42,ROW('03.Muestra'!$C$8:$C$42)-MIN(ROW('03.Muestra'!$D$8:$D$42))+1,""),ROW()-19)),"")</f>
        <v>Modo accesible</v>
      </c>
      <c r="D40" s="98" t="str" cm="1">
        <f t="array" ref="D40">IFERROR(INDEX('03.Muestra'!$F$8:$F$42,SMALL(IF("Página Web"='03.Muestra'!$D$8:$D$42,ROW('03.Muestra'!$F$8:$F$42)-MIN(ROW('03.Muestra'!$D$8:$D$42))+1,""),ROW()-19)),"")</f>
        <v>https://www.crtm.es/</v>
      </c>
      <c r="E40" s="215" t="str" cm="1">
        <f t="array" aca="1" ref="E40" ca="1">IF($B40="","",IF(ISBLANK(INDIRECT("R5.Genéricos!D"&amp;SUM(18,38*0,21))),"",INDIRECT("R5.Genéricos!D"&amp;SUM(18,38*0,21))))</f>
        <v>N/A</v>
      </c>
      <c r="F40" s="215" t="str" cm="1">
        <f t="array" aca="1" ref="F40" ca="1">IF($B40="","",IF(ISBLANK(INDIRECT("R5.Genéricos!D"&amp;SUM(18,38*1,21))),"",INDIRECT("R5.Genéricos!D"&amp;SUM(18,38*1,21))))</f>
        <v>N/A</v>
      </c>
      <c r="G40" s="215" t="str" cm="1">
        <f t="array" aca="1" ref="G40" ca="1">IF($B40="","",IF(ISBLANK(INDIRECT("R5.Genéricos!D"&amp;SUM(18,38*2,21))),"",INDIRECT("R5.Genéricos!D"&amp;SUM(18,38*2,21))))</f>
        <v>N/A</v>
      </c>
      <c r="H40" s="215" t="str" cm="1">
        <f t="array" aca="1" ref="H40" ca="1">IF($B40="","",IF(ISBLANK(INDIRECT("R6.Voz!D"&amp;SUM(18,38*0,21))),"",INDIRECT("R6.Voz!D"&amp;SUM(18,38*0,21))))</f>
        <v>N/A</v>
      </c>
      <c r="I40" s="215" t="str" cm="1">
        <f t="array" aca="1" ref="I40" ca="1">IF($B40="","",IF(ISBLANK(INDIRECT("R6.Voz!D"&amp;SUM(18,38*1,21))),"",INDIRECT("R6.Voz!D"&amp;SUM(18,38*1,21))))</f>
        <v>N/A</v>
      </c>
      <c r="J40" s="215" t="str" cm="1">
        <f t="array" aca="1" ref="J40" ca="1">IF($B40="","",IF(ISBLANK(INDIRECT("R6.Voz!D"&amp;SUM(18,38*2,21))),"",INDIRECT("R6.Voz!D"&amp;SUM(18,38*2,21))))</f>
        <v>N/A</v>
      </c>
      <c r="K40" s="215" t="str" cm="1">
        <f t="array" aca="1" ref="K40" ca="1">IF($B40="","",IF(ISBLANK(INDIRECT("R6.Voz!D"&amp;SUM(18,38*3,21))),"",INDIRECT("R6.Voz!D"&amp;SUM(18,38*3,21))))</f>
        <v>N/A</v>
      </c>
      <c r="L40" s="215" t="str" cm="1">
        <f t="array" aca="1" ref="L40" ca="1">IF($B40="","",IF(ISBLANK(INDIRECT("R6.Voz!D"&amp;SUM(18,38*4,21))),"",INDIRECT("R6.Voz!D"&amp;SUM(18,38*4,21))))</f>
        <v>N/A</v>
      </c>
      <c r="M40" s="215" t="str" cm="1">
        <f t="array" aca="1" ref="M40" ca="1">IF($B40="","",IF(ISBLANK(INDIRECT("R6.Voz!D"&amp;SUM(18,38*5,21))),"",INDIRECT("R6.Voz!D"&amp;SUM(18,38*5,21))))</f>
        <v>N/A</v>
      </c>
      <c r="N40" s="215" t="str" cm="1">
        <f t="array" aca="1" ref="N40" ca="1">IF($B40="","",IF(ISBLANK(INDIRECT("R6.Voz!D"&amp;SUM(18,38*6,21))),"",INDIRECT("R6.Voz!D"&amp;SUM(18,38*6,21))))</f>
        <v>N/A</v>
      </c>
      <c r="O40" s="215" t="str" cm="1">
        <f t="array" aca="1" ref="O40" ca="1">IF($B40="","",IF(ISBLANK(INDIRECT("R6.Voz!D"&amp;SUM(18,38*7,21))),"",INDIRECT("R6.Voz!D"&amp;SUM(18,38*7,21))))</f>
        <v>N/A</v>
      </c>
      <c r="P40" s="215" t="str" cm="1">
        <f t="array" aca="1" ref="P40" ca="1">IF($B40="","",IF(ISBLANK(INDIRECT("R6.Voz!D"&amp;SUM(18,38*8,21))),"",INDIRECT("R6.Voz!D"&amp;SUM(18,38*8,21))))</f>
        <v>N/A</v>
      </c>
      <c r="Q40" s="215" t="str" cm="1">
        <f t="array" aca="1" ref="Q40" ca="1">IF($B40="","",IF(ISBLANK(INDIRECT("R6.Voz!D"&amp;SUM(18,38*9,21))),"",INDIRECT("R6.Voz!D"&amp;SUM(18,38*9,21))))</f>
        <v>N/A</v>
      </c>
      <c r="R40" s="215" t="str" cm="1">
        <f t="array" aca="1" ref="R40" ca="1">IF($B40="","",IF(ISBLANK(INDIRECT("R6.Voz!D"&amp;SUM(18,38*10,21))),"",INDIRECT("R6.Voz!D"&amp;SUM(18,38*10,21))))</f>
        <v>N/A</v>
      </c>
      <c r="S40" s="215" t="str" cm="1">
        <f t="array" aca="1" ref="S40" ca="1">IF($B40="","",IF(ISBLANK(INDIRECT("R6.Voz!D"&amp;SUM(18,38*11,21))),"",INDIRECT("R6.Voz!D"&amp;SUM(18,38*11,21))))</f>
        <v>N/A</v>
      </c>
      <c r="T40" s="215" t="str" cm="1">
        <f t="array" aca="1" ref="T40" ca="1">IF($B40="","",IF(ISBLANK(INDIRECT("R6.Voz!D"&amp;SUM(18,38*12,21))),"",INDIRECT("R6.Voz!D"&amp;SUM(18,38*12,21))))</f>
        <v>N/A</v>
      </c>
      <c r="U40" s="215" t="str" cm="1">
        <f t="array" aca="1" ref="U40" ca="1">IF($B40="","",IF(ISBLANK(INDIRECT("R6.Voz!D"&amp;SUM(18,38*13,21))),"",INDIRECT("R6.Voz!D"&amp;SUM(18,38*13,21))))</f>
        <v>N/A</v>
      </c>
      <c r="V40" s="215" t="str" cm="1">
        <f t="array" aca="1" ref="V40" ca="1">IF($B40="","",IF(ISBLANK(INDIRECT("R6.Voz!D"&amp;SUM(18,38*14,21))),"",INDIRECT("R6.Voz!D"&amp;SUM(18,38*14,21))))</f>
        <v>N/A</v>
      </c>
      <c r="W40" s="215" t="str" cm="1">
        <f t="array" aca="1" ref="W40" ca="1">IF($B40="","",IF(ISBLANK(INDIRECT("R6.Voz!D"&amp;SUM(18,38*15,21))),"",INDIRECT("R6.Voz!D"&amp;SUM(18,38*15,21))))</f>
        <v>N/A</v>
      </c>
      <c r="X40" s="215" t="str" cm="1">
        <f t="array" aca="1" ref="X40" ca="1">IF($B40="","",IF(ISBLANK(INDIRECT("R6.Voz!D"&amp;SUM(18,38*16,21))),"",INDIRECT("R6.Voz!D"&amp;SUM(18,38*16,21))))</f>
        <v>N/A</v>
      </c>
      <c r="Y40" s="215" t="str" cm="1">
        <f t="array" aca="1" ref="Y40" ca="1">IF($B40="","",IF(ISBLANK(INDIRECT("R6.Voz!D"&amp;SUM(18,38*17,21))),"",INDIRECT("R6.Voz!D"&amp;SUM(18,38*17,21))))</f>
        <v>N/A</v>
      </c>
      <c r="Z40" s="215" t="str" cm="1">
        <f t="array" aca="1" ref="Z40" ca="1">IF($B40="","",IF(ISBLANK(INDIRECT("R6.Voz!D"&amp;SUM(18,38*18,21))),"",INDIRECT("R6.Voz!D"&amp;SUM(18,38*18,21))))</f>
        <v>N/A</v>
      </c>
      <c r="AA40" s="215" t="str" cm="1">
        <f t="array" aca="1" ref="AA40" ca="1">IF($B40="","",IF(ISBLANK(INDIRECT("R7.Video!D"&amp;SUM(18,38*0,21))),"",INDIRECT("R7.Video!D"&amp;SUM(18,38*0,21))))</f>
        <v>N/A</v>
      </c>
      <c r="AB40" s="215" t="str" cm="1">
        <f t="array" aca="1" ref="AB40" ca="1">IF($B40="","",IF(ISBLANK(INDIRECT("R7.Video!D"&amp;SUM(18,38*1,21))),"",INDIRECT("R7.Video!D"&amp;SUM(18,38*1,21))))</f>
        <v>N/A</v>
      </c>
      <c r="AC40" s="215" t="str" cm="1">
        <f t="array" aca="1" ref="AC40" ca="1">IF($B40="","",IF(ISBLANK(INDIRECT("R7.Video!D"&amp;SUM(18,38*2,21))),"",INDIRECT("R7.Video!D"&amp;SUM(18,38*2,21))))</f>
        <v>N/A</v>
      </c>
      <c r="AD40" s="215" t="str" cm="1">
        <f t="array" aca="1" ref="AD40" ca="1">IF($B40="","",IF(ISBLANK(INDIRECT("R7.Video!D"&amp;SUM(18,38*3,21))),"",INDIRECT("R7.Video!D"&amp;SUM(18,38*3,21))))</f>
        <v>N/A</v>
      </c>
      <c r="AE40" s="215" t="str" cm="1">
        <f t="array" aca="1" ref="AE40" ca="1">IF($B40="","",IF(ISBLANK(INDIRECT("R7.Video!D"&amp;SUM(18,38*4,21))),"",INDIRECT("R7.Video!D"&amp;SUM(18,38*4,21))))</f>
        <v>N/A</v>
      </c>
      <c r="AF40" s="215" t="str" cm="1">
        <f t="array" aca="1" ref="AF40" ca="1">IF($B40="","",IF(ISBLANK(INDIRECT("R7.Video!D"&amp;SUM(18,38*5,21))),"",INDIRECT("R7.Video!D"&amp;SUM(18,38*5,21))))</f>
        <v>N/A</v>
      </c>
      <c r="AG40" s="215" t="str" cm="1">
        <f t="array" aca="1" ref="AG40" ca="1">IF($B40="","",IF(ISBLANK(INDIRECT("R7.Video!D"&amp;SUM(18,38*6,21))),"",INDIRECT("R7.Video!D"&amp;SUM(18,38*6,21))))</f>
        <v>N/A</v>
      </c>
      <c r="AH40" s="215" t="str" cm="1">
        <f t="array" aca="1" ref="AH40" ca="1">IF($B40="","",IF(ISBLANK(INDIRECT("R7.Video!D"&amp;SUM(18,38*7,21))),"",INDIRECT("R7.Video!D"&amp;SUM(18,38*7,21))))</f>
        <v>N/A</v>
      </c>
      <c r="AI40" s="215" t="str" cm="1">
        <f t="array" aca="1" ref="AI40" ca="1">IF($B40="","",IF(ISBLANK(INDIRECT("R7.Video!D"&amp;SUM(18,38*8,21))),"",INDIRECT("R7.Video!D"&amp;SUM(18,38*8,21))))</f>
        <v>N/A</v>
      </c>
      <c r="AJ40" s="215" t="str" cm="1">
        <f t="array" aca="1" ref="AJ40" ca="1">IF($B40="","",IF(ISBLANK(INDIRECT("R9.Web!D"&amp;SUM(18,38*0,21))),"",INDIRECT("R9.Web!D"&amp;SUM(18,38*0,21))))</f>
        <v>Pasa</v>
      </c>
      <c r="AK40" s="215" t="str" cm="1">
        <f t="array" aca="1" ref="AK40" ca="1">IF($B40="","",IF(ISBLANK(INDIRECT("R9.Web!D"&amp;SUM(18,38*1,21))),"",INDIRECT("R9.Web!D"&amp;SUM(18,38*1,21))))</f>
        <v>N/A</v>
      </c>
      <c r="AL40" s="215" t="str" cm="1">
        <f t="array" aca="1" ref="AL40" ca="1">IF($B40="","",IF(ISBLANK(INDIRECT("R9.Web!D"&amp;SUM(18,38*2,21))),"",INDIRECT("R9.Web!D"&amp;SUM(18,38*2,21))))</f>
        <v>N/A</v>
      </c>
      <c r="AM40" s="215" t="str" cm="1">
        <f t="array" aca="1" ref="AM40" ca="1">IF($B40="","",IF(ISBLANK(INDIRECT("R9.Web!D"&amp;SUM(18,38*3,21))),"",INDIRECT("R9.Web!D"&amp;SUM(18,38*3,21))))</f>
        <v>N/A</v>
      </c>
      <c r="AN40" s="215" t="str" cm="1">
        <f t="array" aca="1" ref="AN40" ca="1">IF($B40="","",IF(ISBLANK(INDIRECT("R9.Web!D"&amp;SUM(18,38*4,21))),"",INDIRECT("R9.Web!D"&amp;SUM(18,38*4,21))))</f>
        <v>N/A</v>
      </c>
      <c r="AO40" s="215" t="str" cm="1">
        <f t="array" aca="1" ref="AO40" ca="1">IF($B40="","",IF(ISBLANK(INDIRECT("R9.Web!D"&amp;SUM(18,38*5,21))),"",INDIRECT("R9.Web!D"&amp;SUM(18,38*5,21))))</f>
        <v>Pasa</v>
      </c>
      <c r="AP40" s="215" t="str" cm="1">
        <f t="array" aca="1" ref="AP40" ca="1">IF($B40="","",IF(ISBLANK(INDIRECT("R9.Web!D"&amp;SUM(18,38*6,21))),"",INDIRECT("R9.Web!D"&amp;SUM(18,38*6,21))))</f>
        <v>Pasa</v>
      </c>
      <c r="AQ40" s="215" t="str" cm="1">
        <f t="array" aca="1" ref="AQ40" ca="1">IF($B40="","",IF(ISBLANK(INDIRECT("R9.Web!D"&amp;SUM(18,38*7,21))),"",INDIRECT("R9.Web!D"&amp;SUM(18,38*7,21))))</f>
        <v>Pasa</v>
      </c>
      <c r="AR40" s="215" t="str" cm="1">
        <f t="array" aca="1" ref="AR40" ca="1">IF($B40="","",IF(ISBLANK(INDIRECT("R9.Web!D"&amp;SUM(18,38*8,21))),"",INDIRECT("R9.Web!D"&amp;SUM(18,38*8,21))))</f>
        <v>Pasa</v>
      </c>
      <c r="AS40" s="215" t="str" cm="1">
        <f t="array" aca="1" ref="AS40" ca="1">IF($B40="","",IF(ISBLANK(INDIRECT("R9.Web!D"&amp;SUM(18,38*9,21))),"",INDIRECT("R9.Web!D"&amp;SUM(18,38*9,21))))</f>
        <v>N/A</v>
      </c>
      <c r="AT40" s="215" t="str" cm="1">
        <f t="array" aca="1" ref="AT40" ca="1">IF($B40="","",IF(ISBLANK(INDIRECT("R9.Web!D"&amp;SUM(18,38*10,21))),"",INDIRECT("R9.Web!D"&amp;SUM(18,38*10,21))))</f>
        <v>N/A</v>
      </c>
      <c r="AU40" s="215" t="str" cm="1">
        <f t="array" aca="1" ref="AU40" ca="1">IF($B40="","",IF(ISBLANK(INDIRECT("R9.Web!D"&amp;SUM(18,38*11,21))),"",INDIRECT("R9.Web!D"&amp;SUM(18,38*11,21))))</f>
        <v>N/A</v>
      </c>
      <c r="AV40" s="215" t="str" cm="1">
        <f t="array" aca="1" ref="AV40" ca="1">IF($B40="","",IF(ISBLANK(INDIRECT("R9.Web!D"&amp;SUM(18,38*12,21))),"",INDIRECT("R9.Web!D"&amp;SUM(18,38*12,21))))</f>
        <v>Pasa</v>
      </c>
      <c r="AW40" s="215" t="str" cm="1">
        <f t="array" aca="1" ref="AW40" ca="1">IF($B40="","",IF(ISBLANK(INDIRECT("R9.Web!D"&amp;SUM(18,38*13,21))),"",INDIRECT("R9.Web!D"&amp;SUM(18,38*13,21))))</f>
        <v>Pasa</v>
      </c>
      <c r="AX40" s="215" t="str" cm="1">
        <f t="array" aca="1" ref="AX40" ca="1">IF($B40="","",IF(ISBLANK(INDIRECT("R9.Web!D"&amp;SUM(18,38*14,21))),"",INDIRECT("R9.Web!D"&amp;SUM(18,38*14,21))))</f>
        <v>Falla</v>
      </c>
      <c r="AY40" s="215" t="str" cm="1">
        <f t="array" aca="1" ref="AY40" ca="1">IF($B40="","",IF(ISBLANK(INDIRECT("R9.Web!D"&amp;SUM(18,38*15,21))),"",INDIRECT("R9.Web!D"&amp;SUM(18,38*15,21))))</f>
        <v>Pasa</v>
      </c>
      <c r="AZ40" s="215" t="str" cm="1">
        <f t="array" aca="1" ref="AZ40" ca="1">IF($B40="","",IF(ISBLANK(INDIRECT("R9.Web!D"&amp;SUM(18,38*16,21))),"",INDIRECT("R9.Web!D"&amp;SUM(18,38*16,21))))</f>
        <v>Pasa</v>
      </c>
      <c r="BA40" s="215" t="str" cm="1">
        <f t="array" aca="1" ref="BA40" ca="1">IF($B40="","",IF(ISBLANK(INDIRECT("R9.Web!D"&amp;SUM(18,38*17,21))),"",INDIRECT("R9.Web!D"&amp;SUM(18,38*17,21))))</f>
        <v>N/A</v>
      </c>
      <c r="BB40" s="215" t="str" cm="1">
        <f t="array" aca="1" ref="BB40" ca="1">IF($B40="","",IF(ISBLANK(INDIRECT("R9.Web!D"&amp;SUM(18,38*18,21))),"",INDIRECT("R9.Web!D"&amp;SUM(18,38*18,21))))</f>
        <v>N/A</v>
      </c>
      <c r="BC40" s="215" t="str" cm="1">
        <f t="array" aca="1" ref="BC40" ca="1">IF($B40="","",IF(ISBLANK(INDIRECT("R9.Web!D"&amp;SUM(18,38*19,21))),"",INDIRECT("R9.Web!D"&amp;SUM(18,38*19,21))))</f>
        <v>Pasa</v>
      </c>
      <c r="BD40" s="215" t="str" cm="1">
        <f t="array" aca="1" ref="BD40" ca="1">IF($B40="","",IF(ISBLANK(INDIRECT("R9.Web!D"&amp;SUM(18,38*20,21))),"",INDIRECT("R9.Web!D"&amp;SUM(18,38*20,21))))</f>
        <v>Pasa</v>
      </c>
      <c r="BE40" s="215" t="str" cm="1">
        <f t="array" aca="1" ref="BE40" ca="1">IF($B40="","",IF(ISBLANK(INDIRECT("R9.Web!D"&amp;SUM(18,38*21,21))),"",INDIRECT("R9.Web!D"&amp;SUM(18,38*21,21))))</f>
        <v>N/A</v>
      </c>
      <c r="BF40" s="215" t="str" cm="1">
        <f t="array" aca="1" ref="BF40" ca="1">IF($B40="","",IF(ISBLANK(INDIRECT("R9.Web!D"&amp;SUM(18,38*22,21))),"",INDIRECT("R9.Web!D"&amp;SUM(18,38*22,21))))</f>
        <v>N/A</v>
      </c>
      <c r="BG40" s="215" t="str" cm="1">
        <f t="array" aca="1" ref="BG40" ca="1">IF($B40="","",IF(ISBLANK(INDIRECT("R9.Web!D"&amp;SUM(18,38*23,21))),"",INDIRECT("R9.Web!D"&amp;SUM(18,38*23,21))))</f>
        <v>N/A</v>
      </c>
      <c r="BH40" s="215" t="str" cm="1">
        <f t="array" aca="1" ref="BH40" ca="1">IF($B40="","",IF(ISBLANK(INDIRECT("R9.Web!D"&amp;SUM(18,38*24,21))),"",INDIRECT("R9.Web!D"&amp;SUM(18,38*24,21))))</f>
        <v>N/A</v>
      </c>
      <c r="BI40" s="215" t="str" cm="1">
        <f t="array" aca="1" ref="BI40" ca="1">IF($B40="","",IF(ISBLANK(INDIRECT("R9.Web!D"&amp;SUM(18,38*25,21))),"",INDIRECT("R9.Web!D"&amp;SUM(18,38*25,21))))</f>
        <v>N/A</v>
      </c>
      <c r="BJ40" s="215" t="str" cm="1">
        <f t="array" aca="1" ref="BJ40" ca="1">IF($B40="","",IF(ISBLANK(INDIRECT("R9.Web!D"&amp;SUM(18,38*26,21))),"",INDIRECT("R9.Web!D"&amp;SUM(18,38*26,21))))</f>
        <v>N/A</v>
      </c>
      <c r="BK40" s="215" t="str" cm="1">
        <f t="array" aca="1" ref="BK40" ca="1">IF($B40="","",IF(ISBLANK(INDIRECT("R9.Web!D"&amp;SUM(18,38*27,21))),"",INDIRECT("R9.Web!D"&amp;SUM(18,38*27,21))))</f>
        <v>Pasa</v>
      </c>
      <c r="BL40" s="215" t="str" cm="1">
        <f t="array" aca="1" ref="BL40" ca="1">IF($B40="","",IF(ISBLANK(INDIRECT("R9.Web!D"&amp;SUM(18,38*28,21))),"",INDIRECT("R9.Web!D"&amp;SUM(18,38*28,21))))</f>
        <v>Pasa</v>
      </c>
      <c r="BM40" s="215" t="str" cm="1">
        <f t="array" aca="1" ref="BM40" ca="1">IF($B40="","",IF(ISBLANK(INDIRECT("R9.Web!D"&amp;SUM(18,38*29,21))),"",INDIRECT("R9.Web!D"&amp;SUM(18,38*29,21))))</f>
        <v>N/A</v>
      </c>
      <c r="BN40" s="215" t="str" cm="1">
        <f t="array" aca="1" ref="BN40" ca="1">IF($B40="","",IF(ISBLANK(INDIRECT("R9.Web!D"&amp;SUM(18,38*30,21))),"",INDIRECT("R9.Web!D"&amp;SUM(18,38*30,21))))</f>
        <v>Falla</v>
      </c>
      <c r="BO40" s="215" t="str" cm="1">
        <f t="array" aca="1" ref="BO40" ca="1">IF($B40="","",IF(ISBLANK(INDIRECT("R9.Web!D"&amp;SUM(18,38*31,21))),"",INDIRECT("R9.Web!D"&amp;SUM(18,38*31,21))))</f>
        <v>Pasa</v>
      </c>
      <c r="BP40" s="215" t="str" cm="1">
        <f t="array" aca="1" ref="BP40" ca="1">IF($B40="","",IF(ISBLANK(INDIRECT("R9.Web!D"&amp;SUM(18,38*32,21))),"",INDIRECT("R9.Web!D"&amp;SUM(18,38*32,21))))</f>
        <v>N/A</v>
      </c>
      <c r="BQ40" s="215" t="str" cm="1">
        <f t="array" aca="1" ref="BQ40" ca="1">IF($B40="","",IF(ISBLANK(INDIRECT("R9.Web!D"&amp;SUM(18,38*33,21))),"",INDIRECT("R9.Web!D"&amp;SUM(18,38*33,21))))</f>
        <v>Pasa</v>
      </c>
      <c r="BR40" s="215" t="str" cm="1">
        <f t="array" aca="1" ref="BR40" ca="1">IF($B40="","",IF(ISBLANK(INDIRECT("R9.Web!D"&amp;SUM(18,38*34,21))),"",INDIRECT("R9.Web!D"&amp;SUM(18,38*34,21))))</f>
        <v>Pasa</v>
      </c>
      <c r="BS40" s="215" t="str" cm="1">
        <f t="array" aca="1" ref="BS40" ca="1">IF($B40="","",IF(ISBLANK(INDIRECT("R9.Web!D"&amp;SUM(18,38*35,21))),"",INDIRECT("R9.Web!D"&amp;SUM(18,38*35,21))))</f>
        <v>N/A</v>
      </c>
      <c r="BT40" s="215" t="str" cm="1">
        <f t="array" aca="1" ref="BT40" ca="1">IF($B40="","",IF(ISBLANK(INDIRECT("R9.Web!D"&amp;SUM(18,38*36,21))),"",INDIRECT("R9.Web!D"&amp;SUM(18,38*36,21))))</f>
        <v>Pasa</v>
      </c>
      <c r="BU40" s="215" t="str" cm="1">
        <f t="array" aca="1" ref="BU40" ca="1">IF($B40="","",IF(ISBLANK(INDIRECT("R9.Web!D"&amp;SUM(18,38*37,21))),"",INDIRECT("R9.Web!D"&amp;SUM(18,38*37,21))))</f>
        <v>N/A</v>
      </c>
      <c r="BV40" s="215" t="str" cm="1">
        <f t="array" aca="1" ref="BV40" ca="1">IF($B40="","",IF(ISBLANK(INDIRECT("R9.Web!D"&amp;SUM(18,38*38,21))),"",INDIRECT("R9.Web!D"&amp;SUM(18,38*38,21))))</f>
        <v>Pasa</v>
      </c>
      <c r="BW40" s="215" t="str" cm="1">
        <f t="array" aca="1" ref="BW40" ca="1">IF($B40="","",IF(ISBLANK(INDIRECT("R9.Web!D"&amp;SUM(18,38*39,21))),"",INDIRECT("R9.Web!D"&amp;SUM(18,38*39,21))))</f>
        <v>Pasa</v>
      </c>
      <c r="BX40" s="215" t="str" cm="1">
        <f t="array" aca="1" ref="BX40" ca="1">IF($B40="","",IF(ISBLANK(INDIRECT("R9.Web!D"&amp;SUM(18,38*40,21))),"",INDIRECT("R9.Web!D"&amp;SUM(18,38*40,21))))</f>
        <v>N/A</v>
      </c>
      <c r="BY40" s="215" t="str" cm="1">
        <f t="array" aca="1" ref="BY40" ca="1">IF($B40="","",IF(ISBLANK(INDIRECT("R9.Web!D"&amp;SUM(18,38*41,21))),"",INDIRECT("R9.Web!D"&amp;SUM(18,38*41,21))))</f>
        <v>N/A</v>
      </c>
      <c r="BZ40" s="215" t="str" cm="1">
        <f t="array" aca="1" ref="BZ40" ca="1">IF($B40="","",IF(ISBLANK(INDIRECT("R9.Web!D"&amp;SUM(18,38*42,21))),"",INDIRECT("R9.Web!D"&amp;SUM(18,38*42,21))))</f>
        <v>N/A</v>
      </c>
      <c r="CA40" s="215" t="str" cm="1">
        <f t="array" aca="1" ref="CA40" ca="1">IF($B40="","",IF(ISBLANK(INDIRECT("R9.Web!D"&amp;SUM(18,38*43,21))),"",INDIRECT("R9.Web!D"&amp;SUM(18,38*43,21))))</f>
        <v>Pasa</v>
      </c>
      <c r="CB40" s="215" t="str" cm="1">
        <f t="array" aca="1" ref="CB40" ca="1">IF($B40="","",IF(ISBLANK(INDIRECT("R9.Web!D"&amp;SUM(18,38*44,21))),"",INDIRECT("R9.Web!D"&amp;SUM(18,38*44,21))))</f>
        <v>N/A</v>
      </c>
      <c r="CC40" s="215" t="str" cm="1">
        <f t="array" aca="1" ref="CC40" ca="1">IF($B40="","",IF(ISBLANK(INDIRECT("R9.Web!D"&amp;SUM(18,38*45,21))),"",INDIRECT("R9.Web!D"&amp;SUM(18,38*45,21))))</f>
        <v>N/A</v>
      </c>
      <c r="CD40" s="215" t="str" cm="1">
        <f t="array" aca="1" ref="CD40" ca="1">IF($B40="","",IF(ISBLANK(INDIRECT("R9.Web!D"&amp;SUM(18,38*46,21))),"",INDIRECT("R9.Web!D"&amp;SUM(18,38*46,21))))</f>
        <v>N/A</v>
      </c>
      <c r="CE40" s="215" t="str" cm="1">
        <f t="array" aca="1" ref="CE40" ca="1">IF($B40="","",IF(ISBLANK(INDIRECT("R9.Web!D"&amp;SUM(18,38*47,21))),"",INDIRECT("R9.Web!D"&amp;SUM(18,38*47,21))))</f>
        <v>Falla</v>
      </c>
      <c r="CF40" s="215" t="str" cm="1">
        <f t="array" aca="1" ref="CF40" ca="1">IF($B40="","",IF(ISBLANK(INDIRECT("R9.Web!D"&amp;SUM(18,38*48,21))),"",INDIRECT("R9.Web!D"&amp;SUM(18,38*48,21))))</f>
        <v>N/A</v>
      </c>
      <c r="CG40" s="215" t="str" cm="1">
        <f t="array" aca="1" ref="CG40" ca="1">IF($B40="","",IF(ISBLANK(INDIRECT("R9.Web!D"&amp;SUM(18,38*49,21))),"",INDIRECT("R9.Web!D"&amp;SUM(18,38*49,21))))</f>
        <v>Falla</v>
      </c>
      <c r="CH40" s="215" t="str" cm="1">
        <f t="array" aca="1" ref="CH40" ca="1">IF($B40="","",IF(ISBLANK(INDIRECT("R11.Software!D"&amp;SUM(18,38*0,21))),"",INDIRECT("R11.Software!D"&amp;SUM(18,38*0,21))))</f>
        <v>Pasa</v>
      </c>
      <c r="CI40" s="215" t="str" cm="1">
        <f t="array" aca="1" ref="CI40" ca="1">IF($B40="","",IF(ISBLANK(INDIRECT("R11.Software!D"&amp;SUM(18,38*1,21))),"",INDIRECT("R11.Software!D"&amp;SUM(18,38*1,21))))</f>
        <v>N/A</v>
      </c>
      <c r="CJ40" s="215" t="str" cm="1">
        <f t="array" aca="1" ref="CJ40" ca="1">IF($B40="","",IF(ISBLANK(INDIRECT("R11.Software!D"&amp;SUM(18,38*2,21))),"",INDIRECT("R11.Software!D"&amp;SUM(18,38*2,21))))</f>
        <v>N/A</v>
      </c>
      <c r="CK40" s="215" t="str" cm="1">
        <f t="array" aca="1" ref="CK40" ca="1">IF($B40="","",IF(ISBLANK(INDIRECT("R11.Software!D"&amp;SUM(18,38*3,21))),"",INDIRECT("R11.Software!D"&amp;SUM(18,38*3,21))))</f>
        <v>N/A</v>
      </c>
      <c r="CL40" s="215" t="str" cm="1">
        <f t="array" aca="1" ref="CL40" ca="1">IF($B40="","",IF(ISBLANK(INDIRECT("R11.Software!D"&amp;SUM(18,38*4,21))),"",INDIRECT("R11.Software!D"&amp;SUM(18,38*4,21))))</f>
        <v>N/A</v>
      </c>
      <c r="CM40" s="215" t="str" cm="1">
        <f t="array" aca="1" ref="CM40" ca="1">IF($B40="","",IF(ISBLANK(INDIRECT("R11.Software!D"&amp;SUM(18,38*5,21))),"",INDIRECT("R11.Software!D"&amp;SUM(18,38*5,21))))</f>
        <v>N/A</v>
      </c>
      <c r="CN40" s="215" t="str" cm="1">
        <f t="array" aca="1" ref="CN40" ca="1">IF($B40="","",IF(ISBLANK(INDIRECT("R12.ServiciosApoyo!D"&amp;SUM(18,38*0,21))),"",INDIRECT("R12.ServiciosApoyo!D"&amp;SUM(18,38*0,21))))</f>
        <v>N/A</v>
      </c>
      <c r="CO40" s="215" t="str" cm="1">
        <f t="array" aca="1" ref="CO40" ca="1">IF($B40="","",IF(ISBLANK(INDIRECT("R12.ServiciosApoyo!D"&amp;SUM(18,38*1,21))),"",INDIRECT("R12.ServiciosApoyo!D"&amp;SUM(18,38*1,21))))</f>
        <v>N/A</v>
      </c>
      <c r="CP40" s="215" t="str" cm="1">
        <f t="array" aca="1" ref="CP40" ca="1">IF($B40="","",IF(ISBLANK(INDIRECT("R12.ServiciosApoyo!D"&amp;SUM(18,38*2,21))),"",INDIRECT("R12.ServiciosApoyo!D"&amp;SUM(18,38*2,21))))</f>
        <v>N/A</v>
      </c>
      <c r="CQ40" s="215" t="str" cm="1">
        <f t="array" aca="1" ref="CQ40" ca="1">IF($B40="","",IF(ISBLANK(INDIRECT("R12.ServiciosApoyo!D"&amp;SUM(18,38*3,21))),"",INDIRECT("R12.ServiciosApoyo!D"&amp;SUM(18,38*3,21))))</f>
        <v>N/A</v>
      </c>
      <c r="CR40" s="215" t="str" cm="1">
        <f t="array" aca="1" ref="CR40" ca="1">IF($B40="","",IF(ISBLANK(INDIRECT("R12.ServiciosApoyo!D"&amp;SUM(18,38*4,21))),"",INDIRECT("R12.ServiciosApoyo!D"&amp;SUM(18,38*4,21))))</f>
        <v>N/A</v>
      </c>
      <c r="CU40" s="100"/>
      <c r="CV40" s="29"/>
      <c r="CW40" s="29"/>
      <c r="CX40" s="29"/>
    </row>
    <row r="41" spans="2:102" ht="20.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NO CONFORME</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4" t="s">
        <v>153</v>
      </c>
      <c r="C58" s="274"/>
      <c r="D58" s="274"/>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8" t="s">
        <v>49</v>
      </c>
      <c r="C59" s="269"/>
      <c r="D59" s="270"/>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N2" sqref="N2"/>
    </sheetView>
  </sheetViews>
  <sheetFormatPr baseColWidth="10" defaultRowHeight="12.5"/>
  <cols>
    <col min="13" max="13" width="12.36328125" customWidth="1"/>
    <col min="14" max="14" width="13.453125" customWidth="1"/>
  </cols>
  <sheetData>
    <row r="1" spans="1:64" s="40" customFormat="1" ht="25.4"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5"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7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4" customHeight="1">
      <c r="B4" s="293" t="s">
        <v>88</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478</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5">
      <c r="B23" s="33" t="s">
        <v>81</v>
      </c>
    </row>
    <row r="25" spans="2:15" ht="15.5">
      <c r="B25" s="34" t="s">
        <v>82</v>
      </c>
      <c r="C25" s="35">
        <v>0.1</v>
      </c>
    </row>
    <row r="26" spans="2:15" ht="15.5">
      <c r="B26" s="34" t="s">
        <v>83</v>
      </c>
      <c r="C26" s="35">
        <v>0.5</v>
      </c>
    </row>
    <row r="27" spans="2:15" ht="15.5">
      <c r="B27" s="34" t="s">
        <v>84</v>
      </c>
      <c r="C27" s="35">
        <v>1</v>
      </c>
    </row>
    <row r="28" spans="2:15">
      <c r="C28" s="36"/>
      <c r="D28" s="36"/>
    </row>
    <row r="29" spans="2:15">
      <c r="C29" s="36"/>
      <c r="D29" s="36"/>
    </row>
    <row r="30" spans="2:15" ht="14">
      <c r="B30" s="37" t="s">
        <v>85</v>
      </c>
      <c r="C30" s="38"/>
      <c r="D30" s="38"/>
    </row>
    <row r="31" spans="2:15" ht="14">
      <c r="B31" s="39"/>
      <c r="C31" s="38"/>
      <c r="D31" s="38"/>
    </row>
    <row r="32" spans="2:15" ht="14">
      <c r="B32" s="39" t="s">
        <v>86</v>
      </c>
      <c r="C32" s="39">
        <v>28</v>
      </c>
      <c r="D32" s="39"/>
    </row>
    <row r="33" spans="2:4" ht="14">
      <c r="B33" s="39" t="s">
        <v>87</v>
      </c>
      <c r="C33" s="39">
        <v>16</v>
      </c>
      <c r="D33" s="39"/>
    </row>
    <row r="34" spans="2:4" ht="14">
      <c r="B34" s="39"/>
      <c r="C34" s="39"/>
      <c r="D34" s="39"/>
    </row>
    <row r="35" spans="2:4" ht="14">
      <c r="B35" s="39"/>
      <c r="C35" s="39"/>
      <c r="D35" s="39"/>
    </row>
    <row r="36" spans="2:4" ht="14">
      <c r="B36" s="39"/>
      <c r="C36" s="39"/>
      <c r="D36" s="39"/>
    </row>
    <row r="37" spans="2:4" ht="14">
      <c r="B37" s="39"/>
      <c r="C37" s="39"/>
      <c r="D37" s="39"/>
    </row>
    <row r="38" spans="2:4" ht="14">
      <c r="B38" s="39"/>
      <c r="C38" s="39"/>
      <c r="D38" s="39"/>
    </row>
    <row r="39" spans="2:4" ht="14">
      <c r="B39" s="39"/>
      <c r="C39" s="39"/>
      <c r="D39" s="39"/>
    </row>
    <row r="40" spans="2:4" ht="14">
      <c r="B40" s="39"/>
      <c r="C40" s="39"/>
    </row>
    <row r="41" spans="2:4" ht="14">
      <c r="B41" s="39"/>
      <c r="C41" s="39"/>
    </row>
    <row r="42" spans="2:4" ht="14">
      <c r="B42" s="39"/>
      <c r="C42" s="39"/>
    </row>
    <row r="43" spans="2:4" ht="14">
      <c r="B43" s="39"/>
      <c r="C43" s="39"/>
    </row>
    <row r="44" spans="2:4" ht="14">
      <c r="B44" s="39"/>
      <c r="C44" s="39"/>
    </row>
    <row r="45" spans="2:4" ht="14">
      <c r="B45" s="39"/>
      <c r="C45" s="39"/>
    </row>
    <row r="46" spans="2:4" ht="14">
      <c r="B46" s="39"/>
      <c r="C46" s="39"/>
    </row>
    <row r="47" spans="2:4" ht="14">
      <c r="B47" s="39"/>
      <c r="C47" s="39"/>
    </row>
    <row r="48" spans="2:4" ht="14">
      <c r="B48" s="39"/>
      <c r="C48" s="39"/>
    </row>
    <row r="49" spans="2:3" ht="14">
      <c r="B49" s="39"/>
      <c r="C49" s="39"/>
    </row>
    <row r="50" spans="2:3" ht="14">
      <c r="B50" s="39"/>
      <c r="C50" s="39"/>
    </row>
    <row r="51" spans="2:3" ht="14">
      <c r="B51" s="39"/>
      <c r="C51" s="39"/>
    </row>
    <row r="52" spans="2:3" ht="14">
      <c r="B52" s="39"/>
      <c r="C52" s="39"/>
    </row>
    <row r="53" spans="2:3" ht="14">
      <c r="B53" s="39"/>
      <c r="C53" s="39"/>
    </row>
    <row r="54" spans="2:3" ht="14">
      <c r="B54" s="39"/>
      <c r="C54" s="39"/>
    </row>
    <row r="55" spans="2:3" ht="14">
      <c r="B55" s="39"/>
      <c r="C55" s="39"/>
    </row>
    <row r="56" spans="2:3" ht="14">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1" max="1" width="11.453125" style="40"/>
    <col min="2" max="2" width="13.453125" style="40" bestFit="1" customWidth="1"/>
    <col min="3" max="3" width="48.453125" style="40" customWidth="1"/>
    <col min="4" max="4" width="14.36328125" style="40" customWidth="1"/>
    <col min="5" max="5" width="14.08984375" style="40" customWidth="1"/>
    <col min="6" max="8" width="11.453125" style="40"/>
    <col min="9" max="9" width="2.453125" style="40" customWidth="1"/>
    <col min="10" max="10" width="2.6328125" style="40" customWidth="1"/>
    <col min="11" max="11" width="27.54296875" style="40" customWidth="1"/>
    <col min="12" max="12" width="11.453125" style="40"/>
    <col min="13" max="13" width="12.36328125" style="40" bestFit="1" customWidth="1"/>
    <col min="14" max="14" width="9.08984375" style="40" bestFit="1" customWidth="1"/>
    <col min="15" max="15" width="5.54296875" style="40" bestFit="1" customWidth="1"/>
    <col min="16" max="16" width="8.90625" style="40" bestFit="1" customWidth="1"/>
    <col min="17" max="19" width="3.54296875" style="40" customWidth="1"/>
    <col min="20" max="20" width="11.453125" style="40"/>
    <col min="21" max="21" width="14.90625" style="40" bestFit="1" customWidth="1"/>
    <col min="22" max="22" width="21.36328125" style="40" bestFit="1" customWidth="1"/>
    <col min="23" max="25" width="11.453125" style="40"/>
    <col min="26" max="26" width="21.36328125" style="40" bestFit="1" customWidth="1"/>
    <col min="27" max="119" width="11.453125" style="40"/>
    <col min="120" max="120" width="14.90625" style="40" bestFit="1" customWidth="1"/>
    <col min="121" max="124" width="11.453125" style="40"/>
    <col min="125" max="125" width="21.36328125" style="40" bestFit="1" customWidth="1"/>
    <col min="126" max="16384" width="11.453125" style="40"/>
  </cols>
  <sheetData>
    <row r="1" spans="1:170" ht="13">
      <c r="A1" s="144" t="s">
        <v>123</v>
      </c>
      <c r="B1" s="144"/>
      <c r="C1" s="144" t="s">
        <v>124</v>
      </c>
      <c r="D1" s="144"/>
      <c r="E1" s="144" t="s">
        <v>341</v>
      </c>
      <c r="F1" s="144"/>
      <c r="G1" s="144"/>
      <c r="H1" s="144"/>
      <c r="I1" s="144"/>
      <c r="J1" s="144"/>
      <c r="K1" s="144" t="s">
        <v>344</v>
      </c>
      <c r="L1" s="144"/>
      <c r="M1" s="144"/>
      <c r="T1" s="295" t="s">
        <v>360</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475</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ht="13">
      <c r="A2" s="40" t="s">
        <v>125</v>
      </c>
      <c r="B2" s="146" t="str">
        <f>'00.Info'!N2</f>
        <v>Versión: 2.0.1</v>
      </c>
      <c r="C2" s="144" t="s">
        <v>126</v>
      </c>
      <c r="D2" s="147" t="str">
        <f>'01.Definición de ámbito'!C7</f>
        <v>SUBDIRECCIÓN GENERAL DE ADMINISTRACIÓN ELECTRÓNICA</v>
      </c>
      <c r="E2" s="144" t="s">
        <v>292</v>
      </c>
      <c r="F2" s="147" t="str">
        <f>'02.Tecnologías'!C9</f>
        <v>Sí</v>
      </c>
      <c r="G2" s="205" t="s">
        <v>342</v>
      </c>
      <c r="H2" s="205" t="s">
        <v>343</v>
      </c>
      <c r="I2" s="205"/>
      <c r="J2" s="205"/>
      <c r="K2" s="153" t="s">
        <v>345</v>
      </c>
      <c r="L2" s="207">
        <f>'03.Muestra'!D45</f>
        <v>21</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ht="13">
      <c r="C3" s="144" t="s">
        <v>131</v>
      </c>
      <c r="D3" s="147" t="str">
        <f>'01.Definición de ámbito'!C9</f>
        <v>A13043893</v>
      </c>
      <c r="E3" s="144" t="s">
        <v>295</v>
      </c>
      <c r="F3" s="147" t="str">
        <f>'02.Tecnologías'!C10</f>
        <v>No</v>
      </c>
      <c r="G3" s="147">
        <f>'02.Tecnologías'!K13</f>
        <v>0</v>
      </c>
      <c r="H3" s="147">
        <f>'02.Tecnologías'!L13</f>
        <v>0</v>
      </c>
      <c r="I3" s="206"/>
      <c r="J3" s="206"/>
      <c r="K3" s="153" t="s">
        <v>346</v>
      </c>
      <c r="L3" s="207">
        <f>'03.Muestra'!D47</f>
        <v>19</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https://www.crtm.es/</v>
      </c>
      <c r="Y3" s="148" t="str">
        <f t="array" ref="Y3:Y37">IFERROR(INDEX('03.Muestra'!$G$8:$G$42,SMALL(IF("Página Web"='03.Muestra'!$D$8:$D$42,ROW('03.Muestra'!$G$8:$GE$42)-MIN(ROW('03.Muestra'!$D$8:$D$42))+1,""),ROW()-2)),"")</f>
        <v xml:space="preserve">Home </v>
      </c>
      <c r="Z3" s="237" t="str">
        <f t="array" ref="Z3:Z37">IFERROR(INDEX('03.Muestra'!$H$8:$H$42,SMALL(IF("Página Web"='03.Muestra'!$D$8:$D$42,ROW('03.Muestra'!$H$8:$H$42)-MIN(ROW('03.Muestra'!$D$8:$D$42))+1,""),ROW()-2)),"")</f>
        <v>Texto, enlaces, buscador, iconos o imágenes</v>
      </c>
      <c r="AA3" s="146" t="str">
        <f ca="1">RESULTADOS!E20</f>
        <v>Pasa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N/A</v>
      </c>
      <c r="BJ3" s="146" t="str">
        <f ca="1">RESULTADOS!AN20</f>
        <v>N/A</v>
      </c>
      <c r="BK3" s="146" t="str">
        <f ca="1">RESULTADOS!AO20</f>
        <v>Falla</v>
      </c>
      <c r="BL3" s="146" t="str">
        <f ca="1">RESULTADOS!AP20</f>
        <v>Falla</v>
      </c>
      <c r="BM3" s="146" t="str">
        <f ca="1">RESULTADOS!AQ20</f>
        <v>Falla</v>
      </c>
      <c r="BN3" s="146" t="str">
        <f ca="1">RESULTADOS!AR20</f>
        <v>Pasa</v>
      </c>
      <c r="BO3" s="146" t="str">
        <f ca="1">RESULTADOS!AS20</f>
        <v>N/A</v>
      </c>
      <c r="BP3" s="146" t="str">
        <f ca="1">RESULTADOS!AT20</f>
        <v>Falla</v>
      </c>
      <c r="BQ3" s="146" t="str">
        <f ca="1">RESULTADOS!AU20</f>
        <v>N/A</v>
      </c>
      <c r="BR3" s="146" t="str">
        <f ca="1">RESULTADOS!AV20</f>
        <v>Pasa</v>
      </c>
      <c r="BS3" s="146" t="str">
        <f ca="1">RESULTADOS!AW20</f>
        <v>Falla</v>
      </c>
      <c r="BT3" s="146" t="str">
        <f ca="1">RESULTADOS!AX20</f>
        <v>Falla</v>
      </c>
      <c r="BU3" s="146" t="str">
        <f ca="1">RESULTADOS!AY20</f>
        <v>Falla</v>
      </c>
      <c r="BV3" s="146" t="str">
        <f ca="1">RESULTADOS!AZ20</f>
        <v>Falla</v>
      </c>
      <c r="BW3" s="146" t="str">
        <f ca="1">RESULTADOS!BA20</f>
        <v>Falla</v>
      </c>
      <c r="BX3" s="146" t="str">
        <f ca="1">RESULTADOS!BB20</f>
        <v>N/A</v>
      </c>
      <c r="BY3" s="146" t="str">
        <f ca="1">RESULTADOS!BC20</f>
        <v>Pasa</v>
      </c>
      <c r="BZ3" s="146" t="str">
        <f ca="1">RESULTADOS!BD20</f>
        <v>Pasa</v>
      </c>
      <c r="CA3" s="146" t="str">
        <f ca="1">RESULTADOS!BE20</f>
        <v>Falla</v>
      </c>
      <c r="CB3" s="146" t="str">
        <f ca="1">RESULTADOS!BF20</f>
        <v>N/A</v>
      </c>
      <c r="CC3" s="146" t="str">
        <f ca="1">RESULTADOS!BG20</f>
        <v>Pasa</v>
      </c>
      <c r="CD3" s="146" t="str">
        <f ca="1">RESULTADOS!BH20</f>
        <v>N/A</v>
      </c>
      <c r="CE3" s="146" t="str">
        <f ca="1">RESULTADOS!BI20</f>
        <v>Pasa</v>
      </c>
      <c r="CF3" s="146" t="str">
        <f ca="1">RESULTADOS!BJ20</f>
        <v>Pasa</v>
      </c>
      <c r="CG3" s="146" t="str">
        <f ca="1">RESULTADOS!BK20</f>
        <v>Falla</v>
      </c>
      <c r="CH3" s="146" t="str">
        <f ca="1">RESULTADOS!BL20</f>
        <v>Falla</v>
      </c>
      <c r="CI3" s="146" t="str">
        <f ca="1">RESULTADOS!BM20</f>
        <v>Pasa</v>
      </c>
      <c r="CJ3" s="146" t="str">
        <f ca="1">RESULTADOS!BN20</f>
        <v>Pasa</v>
      </c>
      <c r="CK3" s="146" t="str">
        <f ca="1">RESULTADOS!BO20</f>
        <v>Falla</v>
      </c>
      <c r="CL3" s="146" t="str">
        <f ca="1">RESULTADOS!BP20</f>
        <v>N/A</v>
      </c>
      <c r="CM3" s="146" t="str">
        <f ca="1">RESULTADOS!BQ20</f>
        <v>Pasa</v>
      </c>
      <c r="CN3" s="146" t="str">
        <f ca="1">RESULTADOS!BR20</f>
        <v>Falla</v>
      </c>
      <c r="CO3" s="146" t="str">
        <f ca="1">RESULTADOS!BS20</f>
        <v>N/A</v>
      </c>
      <c r="CP3" s="146" t="str">
        <f ca="1">RESULTADOS!BT20</f>
        <v>Pasa</v>
      </c>
      <c r="CQ3" s="146" t="str">
        <f ca="1">RESULTADOS!BU20</f>
        <v>N/A</v>
      </c>
      <c r="CR3" s="146" t="str">
        <f ca="1">RESULTADOS!BV20</f>
        <v>Pasa</v>
      </c>
      <c r="CS3" s="146" t="str">
        <f ca="1">RESULTADOS!BW20</f>
        <v>Pasa</v>
      </c>
      <c r="CT3" s="146" t="str">
        <f ca="1">RESULTADOS!BX20</f>
        <v>Pasa</v>
      </c>
      <c r="CU3" s="146" t="str">
        <f ca="1">RESULTADOS!BY20</f>
        <v>Pasa</v>
      </c>
      <c r="CV3" s="146" t="str">
        <f ca="1">RESULTADOS!BZ20</f>
        <v>N/A</v>
      </c>
      <c r="CW3" s="146" t="str">
        <f ca="1">RESULTADOS!CA20</f>
        <v>Pasa</v>
      </c>
      <c r="CX3" s="146" t="str">
        <f ca="1">RESULTADOS!CB20</f>
        <v>N/A</v>
      </c>
      <c r="CY3" s="146" t="str">
        <f ca="1">RESULTADOS!CC20</f>
        <v>N/A</v>
      </c>
      <c r="CZ3" s="146" t="str">
        <f ca="1">RESULTADOS!CD20</f>
        <v>N/A</v>
      </c>
      <c r="DA3" s="146" t="str">
        <f ca="1">RESULTADOS!CE20</f>
        <v>Falla</v>
      </c>
      <c r="DB3" s="146" t="str">
        <f ca="1">RESULTADOS!CF20</f>
        <v>N/A</v>
      </c>
      <c r="DC3" s="146" t="str">
        <f ca="1">RESULTADOS!CG20</f>
        <v>Falla</v>
      </c>
      <c r="DD3" s="146" t="str">
        <f ca="1">RESULTADOS!CH20</f>
        <v>Pasa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N/A</v>
      </c>
      <c r="DL3" s="146" t="str">
        <f ca="1">RESULTADOS!CP20</f>
        <v>N/A</v>
      </c>
      <c r="DM3" s="146" t="str">
        <f ca="1">RESULTADOS!CQ20</f>
        <v>N/A</v>
      </c>
      <c r="DN3" s="146" t="str">
        <f ca="1">RESULTADOS!CR20</f>
        <v>N/A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ht="13">
      <c r="C4" s="144" t="s">
        <v>134</v>
      </c>
      <c r="D4" s="147" t="str">
        <f>'01.Definición de ámbito'!C11</f>
        <v>COMUNIDAD DE MADRID</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Red de metro</v>
      </c>
      <c r="V4" s="148" t="str">
        <f t="shared" ref="V4:V37" si="0">IF(T4&lt;&gt;"","Página web","")</f>
        <v>Página web</v>
      </c>
      <c r="W4" s="148" t="str">
        <v>Pagina tipo</v>
      </c>
      <c r="X4" s="148" t="str">
        <f>RESULTADOS!D21</f>
        <v>https://www.crtm.es/tu-transporte-publico/metro/</v>
      </c>
      <c r="Y4" s="148" t="str">
        <v>Home &gt; Tu transporte público &gt; Metro</v>
      </c>
      <c r="Z4" s="237" t="str">
        <v>Texto, enlaces, buscador, iconos o imágenes</v>
      </c>
      <c r="AA4" s="146" t="str">
        <f ca="1">RESULTADOS!E21</f>
        <v>Pasa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Falla</v>
      </c>
      <c r="BG4" s="146" t="str">
        <f ca="1">RESULTADOS!AK21</f>
        <v>N/A</v>
      </c>
      <c r="BH4" s="146" t="str">
        <f ca="1">RESULTADOS!AL21</f>
        <v>N/A</v>
      </c>
      <c r="BI4" s="146" t="str">
        <f ca="1">RESULTADOS!AM21</f>
        <v>N/A</v>
      </c>
      <c r="BJ4" s="146" t="str">
        <f ca="1">RESULTADOS!AN21</f>
        <v>N/A</v>
      </c>
      <c r="BK4" s="146" t="str">
        <f ca="1">RESULTADOS!AO21</f>
        <v>Falla</v>
      </c>
      <c r="BL4" s="146" t="str">
        <f ca="1">RESULTADOS!AP21</f>
        <v>Falla</v>
      </c>
      <c r="BM4" s="146" t="str">
        <f ca="1">RESULTADOS!AQ21</f>
        <v>Falla</v>
      </c>
      <c r="BN4" s="146" t="str">
        <f ca="1">RESULTADOS!AR21</f>
        <v>Pasa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Falla</v>
      </c>
      <c r="BV4" s="146" t="str">
        <f ca="1">RESULTADOS!AZ21</f>
        <v>Falla</v>
      </c>
      <c r="BW4" s="146" t="str">
        <f ca="1">RESULTADOS!BA21</f>
        <v>Falla</v>
      </c>
      <c r="BX4" s="146" t="str">
        <f ca="1">RESULTADOS!BB21</f>
        <v>N/A</v>
      </c>
      <c r="BY4" s="146" t="str">
        <f ca="1">RESULTADOS!BC21</f>
        <v>Pasa</v>
      </c>
      <c r="BZ4" s="146" t="str">
        <f ca="1">RESULTADOS!BD21</f>
        <v>Pasa</v>
      </c>
      <c r="CA4" s="146" t="str">
        <f ca="1">RESULTADOS!BE21</f>
        <v>Falla</v>
      </c>
      <c r="CB4" s="146" t="str">
        <f ca="1">RESULTADOS!BF21</f>
        <v>N/A</v>
      </c>
      <c r="CC4" s="146" t="str">
        <f ca="1">RESULTADOS!BG21</f>
        <v>N/A</v>
      </c>
      <c r="CD4" s="146" t="str">
        <f ca="1">RESULTADOS!BH21</f>
        <v>N/A</v>
      </c>
      <c r="CE4" s="146" t="str">
        <f ca="1">RESULTADOS!BI21</f>
        <v>Pasa</v>
      </c>
      <c r="CF4" s="146" t="str">
        <f ca="1">RESULTADOS!BJ21</f>
        <v>Pasa</v>
      </c>
      <c r="CG4" s="146" t="str">
        <f ca="1">RESULTADOS!BK21</f>
        <v>Falla</v>
      </c>
      <c r="CH4" s="146" t="str">
        <f ca="1">RESULTADOS!BL21</f>
        <v>Falla</v>
      </c>
      <c r="CI4" s="146" t="str">
        <f ca="1">RESULTADOS!BM21</f>
        <v>Pasa</v>
      </c>
      <c r="CJ4" s="146" t="str">
        <f ca="1">RESULTADOS!BN21</f>
        <v>Pasa</v>
      </c>
      <c r="CK4" s="146" t="str">
        <f ca="1">RESULTADOS!BO21</f>
        <v>Pasa</v>
      </c>
      <c r="CL4" s="146" t="str">
        <f ca="1">RESULTADOS!BP21</f>
        <v>N/A</v>
      </c>
      <c r="CM4" s="146" t="str">
        <f ca="1">RESULTADOS!BQ21</f>
        <v>Pasa</v>
      </c>
      <c r="CN4" s="146" t="str">
        <f ca="1">RESULTADOS!BR21</f>
        <v>Falla</v>
      </c>
      <c r="CO4" s="146" t="str">
        <f ca="1">RESULTADOS!BS21</f>
        <v>N/A</v>
      </c>
      <c r="CP4" s="146" t="str">
        <f ca="1">RESULTADOS!BT21</f>
        <v>Pasa</v>
      </c>
      <c r="CQ4" s="146" t="str">
        <f ca="1">RESULTADOS!BU21</f>
        <v>N/A</v>
      </c>
      <c r="CR4" s="146" t="str">
        <f ca="1">RESULTADOS!BV21</f>
        <v>Pasa</v>
      </c>
      <c r="CS4" s="146" t="str">
        <f ca="1">RESULTADOS!BW21</f>
        <v>Pasa</v>
      </c>
      <c r="CT4" s="146" t="str">
        <f ca="1">RESULTADOS!BX21</f>
        <v>Pasa</v>
      </c>
      <c r="CU4" s="146" t="str">
        <f ca="1">RESULTADOS!BY21</f>
        <v>Pasa</v>
      </c>
      <c r="CV4" s="146" t="str">
        <f ca="1">RESULTADOS!BZ21</f>
        <v>N/A</v>
      </c>
      <c r="CW4" s="146" t="str">
        <f ca="1">RESULTADOS!CA21</f>
        <v>Pasa</v>
      </c>
      <c r="CX4" s="146" t="str">
        <f ca="1">RESULTADOS!CB21</f>
        <v>N/A</v>
      </c>
      <c r="CY4" s="146" t="str">
        <f ca="1">RESULTADOS!CC21</f>
        <v>N/A</v>
      </c>
      <c r="CZ4" s="146" t="str">
        <f ca="1">RESULTADOS!CD21</f>
        <v>N/A</v>
      </c>
      <c r="DA4" s="146" t="str">
        <f ca="1">RESULTADOS!CE21</f>
        <v>Falla</v>
      </c>
      <c r="DB4" s="146" t="str">
        <f ca="1">RESULTADOS!CF21</f>
        <v>N/A</v>
      </c>
      <c r="DC4" s="146" t="str">
        <f ca="1">RESULTADOS!CG21</f>
        <v>Falla</v>
      </c>
      <c r="DD4" s="146" t="str">
        <f ca="1">RESULTADOS!CH21</f>
        <v>Pasa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N/A</v>
      </c>
      <c r="DL4" s="146" t="str">
        <f ca="1">RESULTADOS!CP21</f>
        <v>N/A</v>
      </c>
      <c r="DM4" s="146" t="str">
        <f ca="1">RESULTADOS!CQ21</f>
        <v>N/A</v>
      </c>
      <c r="DN4" s="146" t="str">
        <f ca="1">RESULTADOS!CR21</f>
        <v>N/A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ht="13">
      <c r="C5" s="144" t="s">
        <v>135</v>
      </c>
      <c r="D5" s="147" t="str">
        <f>'01.Definición de ámbito'!C13</f>
        <v>A13002908</v>
      </c>
      <c r="E5" s="144" t="s">
        <v>301</v>
      </c>
      <c r="F5" s="147" t="str">
        <f>'02.Tecnologías'!C12</f>
        <v>Sí</v>
      </c>
      <c r="G5" s="147">
        <f>'02.Tecnologías'!K15</f>
        <v>0</v>
      </c>
      <c r="H5" s="147">
        <f>'02.Tecnologías'!L15</f>
        <v>0</v>
      </c>
      <c r="I5" s="206"/>
      <c r="J5" s="206"/>
      <c r="K5" s="153" t="s">
        <v>150</v>
      </c>
      <c r="L5" s="207" t="str">
        <f>'03.Muestra'!D52</f>
        <v>SI</v>
      </c>
      <c r="M5" s="144"/>
      <c r="T5" s="148">
        <f>RESULTADOS!B22</f>
        <v>3</v>
      </c>
      <c r="U5" s="148" t="str">
        <f>RESULTADOS!C22</f>
        <v>Líneas de metro</v>
      </c>
      <c r="V5" s="148" t="str">
        <f t="shared" si="0"/>
        <v>Página web</v>
      </c>
      <c r="W5" s="148" t="str">
        <v>Otras páginas</v>
      </c>
      <c r="X5" s="148" t="str">
        <f>RESULTADOS!D22</f>
        <v>https://www.crtm.es/tu-transporte-publico/metro/lineas/4__1___</v>
      </c>
      <c r="Y5" s="148" t="str">
        <v>Home &gt; Tu transporte público &gt; Metro &gt; Líneas &gt; 1 Pinar de Chamartín-Valdecarros</v>
      </c>
      <c r="Z5" s="237" t="str">
        <v>Texto, enlaces, buscador, iconos o imágenes</v>
      </c>
      <c r="AA5" s="146" t="str">
        <f ca="1">RESULTADOS!E22</f>
        <v>Pasa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Falla</v>
      </c>
      <c r="BG5" s="146" t="str">
        <f ca="1">RESULTADOS!AK22</f>
        <v>N/A</v>
      </c>
      <c r="BH5" s="146" t="str">
        <f ca="1">RESULTADOS!AL22</f>
        <v>N/A</v>
      </c>
      <c r="BI5" s="146" t="str">
        <f ca="1">RESULTADOS!AM22</f>
        <v>N/A</v>
      </c>
      <c r="BJ5" s="146" t="str">
        <f ca="1">RESULTADOS!AN22</f>
        <v>N/A</v>
      </c>
      <c r="BK5" s="146" t="str">
        <f ca="1">RESULTADOS!AO22</f>
        <v>Falla</v>
      </c>
      <c r="BL5" s="146" t="str">
        <f ca="1">RESULTADOS!AP22</f>
        <v>Falla</v>
      </c>
      <c r="BM5" s="146" t="str">
        <f ca="1">RESULTADOS!AQ22</f>
        <v>Falla</v>
      </c>
      <c r="BN5" s="146" t="str">
        <f ca="1">RESULTADOS!AR22</f>
        <v>Pasa</v>
      </c>
      <c r="BO5" s="146" t="str">
        <f ca="1">RESULTADOS!AS22</f>
        <v>N/A</v>
      </c>
      <c r="BP5" s="146" t="str">
        <f ca="1">RESULTADOS!AT22</f>
        <v>Pasa</v>
      </c>
      <c r="BQ5" s="146" t="str">
        <f ca="1">RESULTADOS!AU22</f>
        <v>N/A</v>
      </c>
      <c r="BR5" s="146" t="str">
        <f ca="1">RESULTADOS!AV22</f>
        <v>Falla</v>
      </c>
      <c r="BS5" s="146" t="str">
        <f ca="1">RESULTADOS!AW22</f>
        <v>Falla</v>
      </c>
      <c r="BT5" s="146" t="str">
        <f ca="1">RESULTADOS!AX22</f>
        <v>Falla</v>
      </c>
      <c r="BU5" s="146" t="str">
        <f ca="1">RESULTADOS!AY22</f>
        <v>Falla</v>
      </c>
      <c r="BV5" s="146" t="str">
        <f ca="1">RESULTADOS!AZ22</f>
        <v>Falla</v>
      </c>
      <c r="BW5" s="146" t="str">
        <f ca="1">RESULTADOS!BA22</f>
        <v>Falla</v>
      </c>
      <c r="BX5" s="146" t="str">
        <f ca="1">RESULTADOS!BB22</f>
        <v>N/A</v>
      </c>
      <c r="BY5" s="146" t="str">
        <f ca="1">RESULTADOS!BC22</f>
        <v>Falla</v>
      </c>
      <c r="BZ5" s="146" t="str">
        <f ca="1">RESULTADOS!BD22</f>
        <v>Pasa</v>
      </c>
      <c r="CA5" s="146" t="str">
        <f ca="1">RESULTADOS!BE22</f>
        <v>Falla</v>
      </c>
      <c r="CB5" s="146" t="str">
        <f ca="1">RESULTADOS!BF22</f>
        <v>N/A</v>
      </c>
      <c r="CC5" s="146" t="str">
        <f ca="1">RESULTADOS!BG22</f>
        <v>N/A</v>
      </c>
      <c r="CD5" s="146" t="str">
        <f ca="1">RESULTADOS!BH22</f>
        <v>N/A</v>
      </c>
      <c r="CE5" s="146" t="str">
        <f ca="1">RESULTADOS!BI22</f>
        <v>Pasa</v>
      </c>
      <c r="CF5" s="146" t="str">
        <f ca="1">RESULTADOS!BJ22</f>
        <v>Falla</v>
      </c>
      <c r="CG5" s="146" t="str">
        <f ca="1">RESULTADOS!BK22</f>
        <v>Falla</v>
      </c>
      <c r="CH5" s="146" t="str">
        <f ca="1">RESULTADOS!BL22</f>
        <v>Falla</v>
      </c>
      <c r="CI5" s="146" t="str">
        <f ca="1">RESULTADOS!BM22</f>
        <v>Pasa</v>
      </c>
      <c r="CJ5" s="146" t="str">
        <f ca="1">RESULTADOS!BN22</f>
        <v>Pasa</v>
      </c>
      <c r="CK5" s="146" t="str">
        <f ca="1">RESULTADOS!BO22</f>
        <v>Pasa</v>
      </c>
      <c r="CL5" s="146" t="str">
        <f ca="1">RESULTADOS!BP22</f>
        <v>N/A</v>
      </c>
      <c r="CM5" s="146" t="str">
        <f ca="1">RESULTADOS!BQ22</f>
        <v>Pasa</v>
      </c>
      <c r="CN5" s="146" t="str">
        <f ca="1">RESULTADOS!BR22</f>
        <v>Falla</v>
      </c>
      <c r="CO5" s="146" t="str">
        <f ca="1">RESULTADOS!BS22</f>
        <v>N/A</v>
      </c>
      <c r="CP5" s="146" t="str">
        <f ca="1">RESULTADOS!BT22</f>
        <v>Pasa</v>
      </c>
      <c r="CQ5" s="146" t="str">
        <f ca="1">RESULTADOS!BU22</f>
        <v>N/A</v>
      </c>
      <c r="CR5" s="146" t="str">
        <f ca="1">RESULTADOS!BV22</f>
        <v>Pasa</v>
      </c>
      <c r="CS5" s="146" t="str">
        <f ca="1">RESULTADOS!BW22</f>
        <v>Pasa</v>
      </c>
      <c r="CT5" s="146" t="str">
        <f ca="1">RESULTADOS!BX22</f>
        <v>Pasa</v>
      </c>
      <c r="CU5" s="146" t="str">
        <f ca="1">RESULTADOS!BY22</f>
        <v>Pasa</v>
      </c>
      <c r="CV5" s="146" t="str">
        <f ca="1">RESULTADOS!BZ22</f>
        <v>N/A</v>
      </c>
      <c r="CW5" s="146" t="str">
        <f ca="1">RESULTADOS!CA22</f>
        <v>Pasa</v>
      </c>
      <c r="CX5" s="146" t="str">
        <f ca="1">RESULTADOS!CB22</f>
        <v>N/A</v>
      </c>
      <c r="CY5" s="146" t="str">
        <f ca="1">RESULTADOS!CC22</f>
        <v>N/A</v>
      </c>
      <c r="CZ5" s="146" t="str">
        <f ca="1">RESULTADOS!CD22</f>
        <v>N/A</v>
      </c>
      <c r="DA5" s="146" t="str">
        <f ca="1">RESULTADOS!CE22</f>
        <v>Falla</v>
      </c>
      <c r="DB5" s="146" t="str">
        <f ca="1">RESULTADOS!CF22</f>
        <v>N/A</v>
      </c>
      <c r="DC5" s="146" t="str">
        <f ca="1">RESULTADOS!CG22</f>
        <v>Falla</v>
      </c>
      <c r="DD5" s="146" t="str">
        <f ca="1">RESULTADOS!CH22</f>
        <v>Pasa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N/A</v>
      </c>
      <c r="DL5" s="146" t="str">
        <f ca="1">RESULTADOS!CP22</f>
        <v>N/A</v>
      </c>
      <c r="DM5" s="146" t="str">
        <f ca="1">RESULTADOS!CQ22</f>
        <v>N/A</v>
      </c>
      <c r="DN5" s="146" t="str">
        <f ca="1">RESULTADOS!CR22</f>
        <v>N/A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ht="13">
      <c r="C6" s="144" t="s">
        <v>280</v>
      </c>
      <c r="D6" s="147" t="str">
        <f>'01.Definición de ámbito'!C17</f>
        <v>MADRID DIGITAL</v>
      </c>
      <c r="E6" s="144" t="s">
        <v>306</v>
      </c>
      <c r="F6" s="147" t="str">
        <f>'02.Tecnologías'!C13</f>
        <v>Sí</v>
      </c>
      <c r="G6" s="147">
        <f>'02.Tecnologías'!K16</f>
        <v>0</v>
      </c>
      <c r="H6" s="147">
        <f>'02.Tecnologías'!L16</f>
        <v>0</v>
      </c>
      <c r="I6" s="206"/>
      <c r="J6" s="206"/>
      <c r="K6" s="144"/>
      <c r="L6" s="144"/>
      <c r="M6" s="144"/>
      <c r="T6" s="148">
        <f>RESULTADOS!B23</f>
        <v>4</v>
      </c>
      <c r="U6" s="148" t="str">
        <f>RESULTADOS!C23</f>
        <v>Estaciones Aeropuerto T1-T2-T3</v>
      </c>
      <c r="V6" s="148" t="str">
        <f t="shared" si="0"/>
        <v>Página web</v>
      </c>
      <c r="W6" s="148" t="str">
        <v>Pagina tipo</v>
      </c>
      <c r="X6" s="148" t="str">
        <f>RESULTADOS!D23</f>
        <v>https://www.crtm.es/tu-transporte-publico/metro/estaciones/4_159</v>
      </c>
      <c r="Y6" s="148" t="str">
        <v>Home &gt; Tu transporte público &gt; Metro &gt; Estaciones &gt; Aeropuerto T1-T2-T3</v>
      </c>
      <c r="Z6" s="237" t="str">
        <v>Texto, enlaces, buscador, iconos o imágenes</v>
      </c>
      <c r="AA6" s="146" t="str">
        <f ca="1">RESULTADOS!E23</f>
        <v>Pasa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Falla</v>
      </c>
      <c r="BG6" s="146" t="str">
        <f ca="1">RESULTADOS!AK23</f>
        <v>N/A</v>
      </c>
      <c r="BH6" s="146" t="str">
        <f ca="1">RESULTADOS!AL23</f>
        <v>N/A</v>
      </c>
      <c r="BI6" s="146" t="str">
        <f ca="1">RESULTADOS!AM23</f>
        <v>N/A</v>
      </c>
      <c r="BJ6" s="146" t="str">
        <f ca="1">RESULTADOS!AN23</f>
        <v>N/A</v>
      </c>
      <c r="BK6" s="146" t="str">
        <f ca="1">RESULTADOS!AO23</f>
        <v>Falla</v>
      </c>
      <c r="BL6" s="146" t="str">
        <f ca="1">RESULTADOS!AP23</f>
        <v>Falla</v>
      </c>
      <c r="BM6" s="146" t="str">
        <f ca="1">RESULTADOS!AQ23</f>
        <v>Falla</v>
      </c>
      <c r="BN6" s="146" t="str">
        <f ca="1">RESULTADOS!AR23</f>
        <v>Pasa</v>
      </c>
      <c r="BO6" s="146" t="str">
        <f ca="1">RESULTADOS!AS23</f>
        <v>N/A</v>
      </c>
      <c r="BP6" s="146" t="str">
        <f ca="1">RESULTADOS!AT23</f>
        <v>Pasa</v>
      </c>
      <c r="BQ6" s="146" t="str">
        <f ca="1">RESULTADOS!AU23</f>
        <v>N/A</v>
      </c>
      <c r="BR6" s="146" t="str">
        <f ca="1">RESULTADOS!AV23</f>
        <v>Falla</v>
      </c>
      <c r="BS6" s="146" t="str">
        <f ca="1">RESULTADOS!AW23</f>
        <v>Falla</v>
      </c>
      <c r="BT6" s="146" t="str">
        <f ca="1">RESULTADOS!AX23</f>
        <v>Falla</v>
      </c>
      <c r="BU6" s="146" t="str">
        <f ca="1">RESULTADOS!AY23</f>
        <v>Falla</v>
      </c>
      <c r="BV6" s="146" t="str">
        <f ca="1">RESULTADOS!AZ23</f>
        <v>Falla</v>
      </c>
      <c r="BW6" s="146" t="str">
        <f ca="1">RESULTADOS!BA23</f>
        <v>Falla</v>
      </c>
      <c r="BX6" s="146" t="str">
        <f ca="1">RESULTADOS!BB23</f>
        <v>N/A</v>
      </c>
      <c r="BY6" s="146" t="str">
        <f ca="1">RESULTADOS!BC23</f>
        <v>Pasa</v>
      </c>
      <c r="BZ6" s="146" t="str">
        <f ca="1">RESULTADOS!BD23</f>
        <v>Pasa</v>
      </c>
      <c r="CA6" s="146" t="str">
        <f ca="1">RESULTADOS!BE23</f>
        <v>Falla</v>
      </c>
      <c r="CB6" s="146" t="str">
        <f ca="1">RESULTADOS!BF23</f>
        <v>N/A</v>
      </c>
      <c r="CC6" s="146" t="str">
        <f ca="1">RESULTADOS!BG23</f>
        <v>N/A</v>
      </c>
      <c r="CD6" s="146" t="str">
        <f ca="1">RESULTADOS!BH23</f>
        <v>N/A</v>
      </c>
      <c r="CE6" s="146" t="str">
        <f ca="1">RESULTADOS!BI23</f>
        <v>Pasa</v>
      </c>
      <c r="CF6" s="146" t="str">
        <f ca="1">RESULTADOS!BJ23</f>
        <v>Pasa</v>
      </c>
      <c r="CG6" s="146" t="str">
        <f ca="1">RESULTADOS!BK23</f>
        <v>Falla</v>
      </c>
      <c r="CH6" s="146" t="str">
        <f ca="1">RESULTADOS!BL23</f>
        <v>Falla</v>
      </c>
      <c r="CI6" s="146" t="str">
        <f ca="1">RESULTADOS!BM23</f>
        <v>Pasa</v>
      </c>
      <c r="CJ6" s="146" t="str">
        <f ca="1">RESULTADOS!BN23</f>
        <v>Pasa</v>
      </c>
      <c r="CK6" s="146" t="str">
        <f ca="1">RESULTADOS!BO23</f>
        <v>Pasa</v>
      </c>
      <c r="CL6" s="146" t="str">
        <f ca="1">RESULTADOS!BP23</f>
        <v>N/A</v>
      </c>
      <c r="CM6" s="146" t="str">
        <f ca="1">RESULTADOS!BQ23</f>
        <v>Pasa</v>
      </c>
      <c r="CN6" s="146" t="str">
        <f ca="1">RESULTADOS!BR23</f>
        <v>Falla</v>
      </c>
      <c r="CO6" s="146" t="str">
        <f ca="1">RESULTADOS!BS23</f>
        <v>N/A</v>
      </c>
      <c r="CP6" s="146" t="str">
        <f ca="1">RESULTADOS!BT23</f>
        <v>Pasa</v>
      </c>
      <c r="CQ6" s="146" t="str">
        <f ca="1">RESULTADOS!BU23</f>
        <v>N/A</v>
      </c>
      <c r="CR6" s="146" t="str">
        <f ca="1">RESULTADOS!BV23</f>
        <v>Pasa</v>
      </c>
      <c r="CS6" s="146" t="str">
        <f ca="1">RESULTADOS!BW23</f>
        <v>Pasa</v>
      </c>
      <c r="CT6" s="146" t="str">
        <f ca="1">RESULTADOS!BX23</f>
        <v>Pasa</v>
      </c>
      <c r="CU6" s="146" t="str">
        <f ca="1">RESULTADOS!BY23</f>
        <v>Pasa</v>
      </c>
      <c r="CV6" s="146" t="str">
        <f ca="1">RESULTADOS!BZ23</f>
        <v>N/A</v>
      </c>
      <c r="CW6" s="146" t="str">
        <f ca="1">RESULTADOS!CA23</f>
        <v>Pasa</v>
      </c>
      <c r="CX6" s="146" t="str">
        <f ca="1">RESULTADOS!CB23</f>
        <v>N/A</v>
      </c>
      <c r="CY6" s="146" t="str">
        <f ca="1">RESULTADOS!CC23</f>
        <v>N/A</v>
      </c>
      <c r="CZ6" s="146" t="str">
        <f ca="1">RESULTADOS!CD23</f>
        <v>N/A</v>
      </c>
      <c r="DA6" s="146" t="str">
        <f ca="1">RESULTADOS!CE23</f>
        <v>Falla</v>
      </c>
      <c r="DB6" s="146" t="str">
        <f ca="1">RESULTADOS!CF23</f>
        <v>N/A</v>
      </c>
      <c r="DC6" s="146" t="str">
        <f ca="1">RESULTADOS!CG23</f>
        <v>Falla</v>
      </c>
      <c r="DD6" s="146" t="str">
        <f ca="1">RESULTADOS!CH23</f>
        <v>Pasa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N/A</v>
      </c>
      <c r="DL6" s="146" t="str">
        <f ca="1">RESULTADOS!CP23</f>
        <v>N/A</v>
      </c>
      <c r="DM6" s="146" t="str">
        <f ca="1">RESULTADOS!CQ23</f>
        <v>N/A</v>
      </c>
      <c r="DN6" s="146" t="str">
        <f ca="1">RESULTADOS!CR23</f>
        <v>N/A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ht="13">
      <c r="C7" s="144" t="s">
        <v>136</v>
      </c>
      <c r="D7" s="147" t="str">
        <f>'01.Definición de ámbito'!C19</f>
        <v>A13033692</v>
      </c>
      <c r="E7" s="144" t="s">
        <v>293</v>
      </c>
      <c r="F7" s="147" t="str">
        <f>'02.Tecnologías'!F9</f>
        <v>No</v>
      </c>
      <c r="G7" s="147">
        <f>'02.Tecnologías'!K17</f>
        <v>0</v>
      </c>
      <c r="H7" s="147">
        <f>'02.Tecnologías'!L17</f>
        <v>0</v>
      </c>
      <c r="I7" s="206"/>
      <c r="J7" s="206"/>
      <c r="K7" s="144"/>
      <c r="L7" s="144"/>
      <c r="M7" s="144"/>
      <c r="T7" s="148">
        <f>RESULTADOS!B24</f>
        <v>5</v>
      </c>
      <c r="U7" s="148" t="str">
        <f>RESULTADOS!C24</f>
        <v>Muévete por Madrid</v>
      </c>
      <c r="V7" s="148" t="str">
        <f t="shared" si="0"/>
        <v>Página web</v>
      </c>
      <c r="W7" s="148" t="str">
        <v>Aleatoria</v>
      </c>
      <c r="X7" s="148" t="str">
        <f>RESULTADOS!D24</f>
        <v>https://www.crtm.es/muevete-por-madrid/</v>
      </c>
      <c r="Y7" s="148" t="str">
        <v>Home &gt; Muévete por Madrid</v>
      </c>
      <c r="Z7" s="237" t="str">
        <v>Texto, enlaces, buscador, iconos o imágenes</v>
      </c>
      <c r="AA7" s="146" t="str">
        <f ca="1">RESULTADOS!E24</f>
        <v>Pasa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Falla</v>
      </c>
      <c r="BG7" s="146" t="str">
        <f ca="1">RESULTADOS!AK24</f>
        <v>N/A</v>
      </c>
      <c r="BH7" s="146" t="str">
        <f ca="1">RESULTADOS!AL24</f>
        <v>N/A</v>
      </c>
      <c r="BI7" s="146" t="str">
        <f ca="1">RESULTADOS!AM24</f>
        <v>N/A</v>
      </c>
      <c r="BJ7" s="146" t="str">
        <f ca="1">RESULTADOS!AN24</f>
        <v>N/A</v>
      </c>
      <c r="BK7" s="146" t="str">
        <f ca="1">RESULTADOS!AO24</f>
        <v>Falla</v>
      </c>
      <c r="BL7" s="146" t="str">
        <f ca="1">RESULTADOS!AP24</f>
        <v>Falla</v>
      </c>
      <c r="BM7" s="146" t="str">
        <f ca="1">RESULTADOS!AQ24</f>
        <v>Falla</v>
      </c>
      <c r="BN7" s="146" t="str">
        <f ca="1">RESULTADOS!AR24</f>
        <v>Pasa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Falla</v>
      </c>
      <c r="BV7" s="146" t="str">
        <f ca="1">RESULTADOS!AZ24</f>
        <v>Falla</v>
      </c>
      <c r="BW7" s="146" t="str">
        <f ca="1">RESULTADOS!BA24</f>
        <v>Falla</v>
      </c>
      <c r="BX7" s="146" t="str">
        <f ca="1">RESULTADOS!BB24</f>
        <v>N/A</v>
      </c>
      <c r="BY7" s="146" t="str">
        <f ca="1">RESULTADOS!BC24</f>
        <v>Falla</v>
      </c>
      <c r="BZ7" s="146" t="str">
        <f ca="1">RESULTADOS!BD24</f>
        <v>Pasa</v>
      </c>
      <c r="CA7" s="146" t="str">
        <f ca="1">RESULTADOS!BE24</f>
        <v>Falla</v>
      </c>
      <c r="CB7" s="146" t="str">
        <f ca="1">RESULTADOS!BF24</f>
        <v>N/A</v>
      </c>
      <c r="CC7" s="146" t="str">
        <f ca="1">RESULTADOS!BG24</f>
        <v>N/A</v>
      </c>
      <c r="CD7" s="146" t="str">
        <f ca="1">RESULTADOS!BH24</f>
        <v>N/A</v>
      </c>
      <c r="CE7" s="146" t="str">
        <f ca="1">RESULTADOS!BI24</f>
        <v>Pasa</v>
      </c>
      <c r="CF7" s="146" t="str">
        <f ca="1">RESULTADOS!BJ24</f>
        <v>Pasa</v>
      </c>
      <c r="CG7" s="146" t="str">
        <f ca="1">RESULTADOS!BK24</f>
        <v>Falla</v>
      </c>
      <c r="CH7" s="146" t="str">
        <f ca="1">RESULTADOS!BL24</f>
        <v>Falla</v>
      </c>
      <c r="CI7" s="146" t="str">
        <f ca="1">RESULTADOS!BM24</f>
        <v>Pasa</v>
      </c>
      <c r="CJ7" s="146" t="str">
        <f ca="1">RESULTADOS!BN24</f>
        <v>Pasa</v>
      </c>
      <c r="CK7" s="146" t="str">
        <f ca="1">RESULTADOS!BO24</f>
        <v>Pasa</v>
      </c>
      <c r="CL7" s="146" t="str">
        <f ca="1">RESULTADOS!BP24</f>
        <v>N/A</v>
      </c>
      <c r="CM7" s="146" t="str">
        <f ca="1">RESULTADOS!BQ24</f>
        <v>Pasa</v>
      </c>
      <c r="CN7" s="146" t="str">
        <f ca="1">RESULTADOS!BR24</f>
        <v>Falla</v>
      </c>
      <c r="CO7" s="146" t="str">
        <f ca="1">RESULTADOS!BS24</f>
        <v>N/A</v>
      </c>
      <c r="CP7" s="146" t="str">
        <f ca="1">RESULTADOS!BT24</f>
        <v>Pasa</v>
      </c>
      <c r="CQ7" s="146" t="str">
        <f ca="1">RESULTADOS!BU24</f>
        <v>N/A</v>
      </c>
      <c r="CR7" s="146" t="str">
        <f ca="1">RESULTADOS!BV24</f>
        <v>Pasa</v>
      </c>
      <c r="CS7" s="146" t="str">
        <f ca="1">RESULTADOS!BW24</f>
        <v>Pasa</v>
      </c>
      <c r="CT7" s="146" t="str">
        <f ca="1">RESULTADOS!BX24</f>
        <v>Pasa</v>
      </c>
      <c r="CU7" s="146" t="str">
        <f ca="1">RESULTADOS!BY24</f>
        <v>Pasa</v>
      </c>
      <c r="CV7" s="146" t="str">
        <f ca="1">RESULTADOS!BZ24</f>
        <v>N/A</v>
      </c>
      <c r="CW7" s="146" t="str">
        <f ca="1">RESULTADOS!CA24</f>
        <v>Pasa</v>
      </c>
      <c r="CX7" s="146" t="str">
        <f ca="1">RESULTADOS!CB24</f>
        <v>N/A</v>
      </c>
      <c r="CY7" s="146" t="str">
        <f ca="1">RESULTADOS!CC24</f>
        <v>N/A</v>
      </c>
      <c r="CZ7" s="146" t="str">
        <f ca="1">RESULTADOS!CD24</f>
        <v>N/A</v>
      </c>
      <c r="DA7" s="146" t="str">
        <f ca="1">RESULTADOS!CE24</f>
        <v>Falla</v>
      </c>
      <c r="DB7" s="146" t="str">
        <f ca="1">RESULTADOS!CF24</f>
        <v>N/A</v>
      </c>
      <c r="DC7" s="146" t="str">
        <f ca="1">RESULTADOS!CG24</f>
        <v>Falla</v>
      </c>
      <c r="DD7" s="146" t="str">
        <f ca="1">RESULTADOS!CH24</f>
        <v>Pasa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N/A</v>
      </c>
      <c r="DL7" s="146" t="str">
        <f ca="1">RESULTADOS!CP24</f>
        <v>N/A</v>
      </c>
      <c r="DM7" s="146" t="str">
        <f ca="1">RESULTADOS!CQ24</f>
        <v>N/A</v>
      </c>
      <c r="DN7" s="146" t="str">
        <f ca="1">RESULTADOS!CR24</f>
        <v>N/A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ht="13">
      <c r="C8" s="144" t="s">
        <v>281</v>
      </c>
      <c r="D8" s="147" t="str">
        <f>'01.Definición de ámbito'!C21</f>
        <v>MD_CANALES_DIGITALES@madrid.org</v>
      </c>
      <c r="E8" s="144" t="s">
        <v>296</v>
      </c>
      <c r="F8" s="147" t="str">
        <f>'02.Tecnologías'!F10</f>
        <v>No</v>
      </c>
      <c r="G8" s="147">
        <f>'02.Tecnologías'!K18</f>
        <v>0</v>
      </c>
      <c r="H8" s="147">
        <f>'02.Tecnologías'!L18</f>
        <v>0</v>
      </c>
      <c r="I8" s="206"/>
      <c r="J8" s="206"/>
      <c r="K8" s="144"/>
      <c r="L8" s="144"/>
      <c r="M8" s="144"/>
      <c r="T8" s="148">
        <f>RESULTADOS!B25</f>
        <v>6</v>
      </c>
      <c r="U8" s="148" t="str">
        <f>RESULTADOS!C25</f>
        <v>conexiones con aeropuerto y principales estaciones</v>
      </c>
      <c r="V8" s="148" t="str">
        <f t="shared" si="0"/>
        <v>Página web</v>
      </c>
      <c r="W8" s="148" t="str">
        <v>Otras páginas</v>
      </c>
      <c r="X8" s="148" t="str">
        <f>RESULTADOS!D25</f>
        <v xml:space="preserve">https://www.crtm.es/muevete-por-madrid/conexiones-con-aeropuerto-y-principales-estaciones/ </v>
      </c>
      <c r="Y8" s="148" t="str">
        <v>Home &gt; Muévete por Madrid &gt; Conexiones con aeropuerto y principales estaciones</v>
      </c>
      <c r="Z8" s="237" t="str">
        <v>Texto, enlaces, buscador, iconos o imágenes</v>
      </c>
      <c r="AA8" s="146" t="str">
        <f ca="1">RESULTADOS!E25</f>
        <v>Pasa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Falla</v>
      </c>
      <c r="BG8" s="146" t="str">
        <f ca="1">RESULTADOS!AK25</f>
        <v>N/A</v>
      </c>
      <c r="BH8" s="146" t="str">
        <f ca="1">RESULTADOS!AL25</f>
        <v>N/A</v>
      </c>
      <c r="BI8" s="146" t="str">
        <f ca="1">RESULTADOS!AM25</f>
        <v>N/A</v>
      </c>
      <c r="BJ8" s="146" t="str">
        <f ca="1">RESULTADOS!AN25</f>
        <v>N/A</v>
      </c>
      <c r="BK8" s="146" t="str">
        <f ca="1">RESULTADOS!AO25</f>
        <v>Falla</v>
      </c>
      <c r="BL8" s="146" t="str">
        <f ca="1">RESULTADOS!AP25</f>
        <v>Falla</v>
      </c>
      <c r="BM8" s="146" t="str">
        <f ca="1">RESULTADOS!AQ25</f>
        <v>Falla</v>
      </c>
      <c r="BN8" s="146" t="str">
        <f ca="1">RESULTADOS!AR25</f>
        <v>Pasa</v>
      </c>
      <c r="BO8" s="146" t="str">
        <f ca="1">RESULTADOS!AS25</f>
        <v>N/A</v>
      </c>
      <c r="BP8" s="146" t="str">
        <f ca="1">RESULTADOS!AT25</f>
        <v>Pasa</v>
      </c>
      <c r="BQ8" s="146" t="str">
        <f ca="1">RESULTADOS!AU25</f>
        <v>N/A</v>
      </c>
      <c r="BR8" s="146" t="str">
        <f ca="1">RESULTADOS!AV25</f>
        <v>Pasa</v>
      </c>
      <c r="BS8" s="146" t="str">
        <f ca="1">RESULTADOS!AW25</f>
        <v>Falla</v>
      </c>
      <c r="BT8" s="146" t="str">
        <f ca="1">RESULTADOS!AX25</f>
        <v>Falla</v>
      </c>
      <c r="BU8" s="146" t="str">
        <f ca="1">RESULTADOS!AY25</f>
        <v>Falla</v>
      </c>
      <c r="BV8" s="146" t="str">
        <f ca="1">RESULTADOS!AZ25</f>
        <v>Falla</v>
      </c>
      <c r="BW8" s="146" t="str">
        <f ca="1">RESULTADOS!BA25</f>
        <v>Falla</v>
      </c>
      <c r="BX8" s="146" t="str">
        <f ca="1">RESULTADOS!BB25</f>
        <v>N/A</v>
      </c>
      <c r="BY8" s="146" t="str">
        <f ca="1">RESULTADOS!BC25</f>
        <v>Pasa</v>
      </c>
      <c r="BZ8" s="146" t="str">
        <f ca="1">RESULTADOS!BD25</f>
        <v>Pasa</v>
      </c>
      <c r="CA8" s="146" t="str">
        <f ca="1">RESULTADOS!BE25</f>
        <v>Falla</v>
      </c>
      <c r="CB8" s="146" t="str">
        <f ca="1">RESULTADOS!BF25</f>
        <v>N/A</v>
      </c>
      <c r="CC8" s="146" t="str">
        <f ca="1">RESULTADOS!BG25</f>
        <v>N/A</v>
      </c>
      <c r="CD8" s="146" t="str">
        <f ca="1">RESULTADOS!BH25</f>
        <v>N/A</v>
      </c>
      <c r="CE8" s="146" t="str">
        <f ca="1">RESULTADOS!BI25</f>
        <v>Pasa</v>
      </c>
      <c r="CF8" s="146" t="str">
        <f ca="1">RESULTADOS!BJ25</f>
        <v>Pasa</v>
      </c>
      <c r="CG8" s="146" t="str">
        <f ca="1">RESULTADOS!BK25</f>
        <v>Falla</v>
      </c>
      <c r="CH8" s="146" t="str">
        <f ca="1">RESULTADOS!BL25</f>
        <v>Falla</v>
      </c>
      <c r="CI8" s="146" t="str">
        <f ca="1">RESULTADOS!BM25</f>
        <v>Pasa</v>
      </c>
      <c r="CJ8" s="146" t="str">
        <f ca="1">RESULTADOS!BN25</f>
        <v>Pasa</v>
      </c>
      <c r="CK8" s="146" t="str">
        <f ca="1">RESULTADOS!BO25</f>
        <v>Pasa</v>
      </c>
      <c r="CL8" s="146" t="str">
        <f ca="1">RESULTADOS!BP25</f>
        <v>N/A</v>
      </c>
      <c r="CM8" s="146" t="str">
        <f ca="1">RESULTADOS!BQ25</f>
        <v>Pasa</v>
      </c>
      <c r="CN8" s="146" t="str">
        <f ca="1">RESULTADOS!BR25</f>
        <v>Falla</v>
      </c>
      <c r="CO8" s="146" t="str">
        <f ca="1">RESULTADOS!BS25</f>
        <v>N/A</v>
      </c>
      <c r="CP8" s="146" t="str">
        <f ca="1">RESULTADOS!BT25</f>
        <v>Pasa</v>
      </c>
      <c r="CQ8" s="146" t="str">
        <f ca="1">RESULTADOS!BU25</f>
        <v>N/A</v>
      </c>
      <c r="CR8" s="146" t="str">
        <f ca="1">RESULTADOS!BV25</f>
        <v>Pasa</v>
      </c>
      <c r="CS8" s="146" t="str">
        <f ca="1">RESULTADOS!BW25</f>
        <v>Pasa</v>
      </c>
      <c r="CT8" s="146" t="str">
        <f ca="1">RESULTADOS!BX25</f>
        <v>Pasa</v>
      </c>
      <c r="CU8" s="146" t="str">
        <f ca="1">RESULTADOS!BY25</f>
        <v>Pasa</v>
      </c>
      <c r="CV8" s="146" t="str">
        <f ca="1">RESULTADOS!BZ25</f>
        <v>N/A</v>
      </c>
      <c r="CW8" s="146" t="str">
        <f ca="1">RESULTADOS!CA25</f>
        <v>Pasa</v>
      </c>
      <c r="CX8" s="146" t="str">
        <f ca="1">RESULTADOS!CB25</f>
        <v>N/A</v>
      </c>
      <c r="CY8" s="146" t="str">
        <f ca="1">RESULTADOS!CC25</f>
        <v>N/A</v>
      </c>
      <c r="CZ8" s="146" t="str">
        <f ca="1">RESULTADOS!CD25</f>
        <v>N/A</v>
      </c>
      <c r="DA8" s="146" t="str">
        <f ca="1">RESULTADOS!CE25</f>
        <v>Falla</v>
      </c>
      <c r="DB8" s="146" t="str">
        <f ca="1">RESULTADOS!CF25</f>
        <v>N/A</v>
      </c>
      <c r="DC8" s="146" t="str">
        <f ca="1">RESULTADOS!CG25</f>
        <v>Falla</v>
      </c>
      <c r="DD8" s="146" t="str">
        <f ca="1">RESULTADOS!CH25</f>
        <v>Pasa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N/A</v>
      </c>
      <c r="DL8" s="146" t="str">
        <f ca="1">RESULTADOS!CP25</f>
        <v>N/A</v>
      </c>
      <c r="DM8" s="146" t="str">
        <f ca="1">RESULTADOS!CQ25</f>
        <v>N/A</v>
      </c>
      <c r="DN8" s="146" t="str">
        <f ca="1">RESULTADOS!CR25</f>
        <v>N/A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ht="13">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Atención desplazados Ucranianos</v>
      </c>
      <c r="V9" s="148" t="str">
        <f t="shared" si="0"/>
        <v>Página web</v>
      </c>
      <c r="W9" s="148" t="str">
        <v>Pagina tipo</v>
      </c>
      <c r="X9" s="148" t="str">
        <f>RESULTADOS!D26</f>
        <v>https://www.crtm.es/atencion-desplazados-ucranianos/#item3</v>
      </c>
      <c r="Y9" s="148" t="str">
        <v>Home &gt; Billetes y tarifas &gt; Atención a desplazados ucranianos</v>
      </c>
      <c r="Z9" s="237" t="str">
        <v>Texto, enlaces, buscador, iconos o imágenes</v>
      </c>
      <c r="AA9" s="146" t="str">
        <f ca="1">RESULTADOS!E26</f>
        <v>Pasa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Falla</v>
      </c>
      <c r="BG9" s="146" t="str">
        <f ca="1">RESULTADOS!AK26</f>
        <v>N/A</v>
      </c>
      <c r="BH9" s="146" t="str">
        <f ca="1">RESULTADOS!AL26</f>
        <v>N/A</v>
      </c>
      <c r="BI9" s="146" t="str">
        <f ca="1">RESULTADOS!AM26</f>
        <v>N/A</v>
      </c>
      <c r="BJ9" s="146" t="str">
        <f ca="1">RESULTADOS!AN26</f>
        <v>N/A</v>
      </c>
      <c r="BK9" s="146" t="str">
        <f ca="1">RESULTADOS!AO26</f>
        <v>Falla</v>
      </c>
      <c r="BL9" s="146" t="str">
        <f ca="1">RESULTADOS!AP26</f>
        <v>Falla</v>
      </c>
      <c r="BM9" s="146" t="str">
        <f ca="1">RESULTADOS!AQ26</f>
        <v>Falla</v>
      </c>
      <c r="BN9" s="146" t="str">
        <f ca="1">RESULTADOS!AR26</f>
        <v>Pasa</v>
      </c>
      <c r="BO9" s="146" t="str">
        <f ca="1">RESULTADOS!AS26</f>
        <v>N/A</v>
      </c>
      <c r="BP9" s="146" t="str">
        <f ca="1">RESULTADOS!AT26</f>
        <v>Falla</v>
      </c>
      <c r="BQ9" s="146" t="str">
        <f ca="1">RESULTADOS!AU26</f>
        <v>N/A</v>
      </c>
      <c r="BR9" s="146" t="str">
        <f ca="1">RESULTADOS!AV26</f>
        <v>Pasa</v>
      </c>
      <c r="BS9" s="146" t="str">
        <f ca="1">RESULTADOS!AW26</f>
        <v>Falla</v>
      </c>
      <c r="BT9" s="146" t="str">
        <f ca="1">RESULTADOS!AX26</f>
        <v>Falla</v>
      </c>
      <c r="BU9" s="146" t="str">
        <f ca="1">RESULTADOS!AY26</f>
        <v>Falla</v>
      </c>
      <c r="BV9" s="146" t="str">
        <f ca="1">RESULTADOS!AZ26</f>
        <v>Falla</v>
      </c>
      <c r="BW9" s="146" t="str">
        <f ca="1">RESULTADOS!BA26</f>
        <v>Falla</v>
      </c>
      <c r="BX9" s="146" t="str">
        <f ca="1">RESULTADOS!BB26</f>
        <v>N/A</v>
      </c>
      <c r="BY9" s="146" t="str">
        <f ca="1">RESULTADOS!BC26</f>
        <v>Pasa</v>
      </c>
      <c r="BZ9" s="146" t="str">
        <f ca="1">RESULTADOS!BD26</f>
        <v>Pasa</v>
      </c>
      <c r="CA9" s="146" t="str">
        <f ca="1">RESULTADOS!BE26</f>
        <v>Falla</v>
      </c>
      <c r="CB9" s="146" t="str">
        <f ca="1">RESULTADOS!BF26</f>
        <v>N/A</v>
      </c>
      <c r="CC9" s="146" t="str">
        <f ca="1">RESULTADOS!BG26</f>
        <v>N/A</v>
      </c>
      <c r="CD9" s="146" t="str">
        <f ca="1">RESULTADOS!BH26</f>
        <v>N/A</v>
      </c>
      <c r="CE9" s="146" t="str">
        <f ca="1">RESULTADOS!BI26</f>
        <v>Pasa</v>
      </c>
      <c r="CF9" s="146" t="str">
        <f ca="1">RESULTADOS!BJ26</f>
        <v>Pasa</v>
      </c>
      <c r="CG9" s="146" t="str">
        <f ca="1">RESULTADOS!BK26</f>
        <v>Falla</v>
      </c>
      <c r="CH9" s="146" t="str">
        <f ca="1">RESULTADOS!BL26</f>
        <v>Falla</v>
      </c>
      <c r="CI9" s="146" t="str">
        <f ca="1">RESULTADOS!BM26</f>
        <v>Pasa</v>
      </c>
      <c r="CJ9" s="146" t="str">
        <f ca="1">RESULTADOS!BN26</f>
        <v>Pasa</v>
      </c>
      <c r="CK9" s="146" t="str">
        <f ca="1">RESULTADOS!BO26</f>
        <v>Falla</v>
      </c>
      <c r="CL9" s="146" t="str">
        <f ca="1">RESULTADOS!BP26</f>
        <v>N/A</v>
      </c>
      <c r="CM9" s="146" t="str">
        <f ca="1">RESULTADOS!BQ26</f>
        <v>Pasa</v>
      </c>
      <c r="CN9" s="146" t="str">
        <f ca="1">RESULTADOS!BR26</f>
        <v>Falla</v>
      </c>
      <c r="CO9" s="146" t="str">
        <f ca="1">RESULTADOS!BS26</f>
        <v>N/A</v>
      </c>
      <c r="CP9" s="146" t="str">
        <f ca="1">RESULTADOS!BT26</f>
        <v>Pasa</v>
      </c>
      <c r="CQ9" s="146" t="str">
        <f ca="1">RESULTADOS!BU26</f>
        <v>N/A</v>
      </c>
      <c r="CR9" s="146" t="str">
        <f ca="1">RESULTADOS!BV26</f>
        <v>Pasa</v>
      </c>
      <c r="CS9" s="146" t="str">
        <f ca="1">RESULTADOS!BW26</f>
        <v>Pasa</v>
      </c>
      <c r="CT9" s="146" t="str">
        <f ca="1">RESULTADOS!BX26</f>
        <v>Pasa</v>
      </c>
      <c r="CU9" s="146" t="str">
        <f ca="1">RESULTADOS!BY26</f>
        <v>Pasa</v>
      </c>
      <c r="CV9" s="146" t="str">
        <f ca="1">RESULTADOS!BZ26</f>
        <v>N/A</v>
      </c>
      <c r="CW9" s="146" t="str">
        <f ca="1">RESULTADOS!CA26</f>
        <v>Pasa</v>
      </c>
      <c r="CX9" s="146" t="str">
        <f ca="1">RESULTADOS!CB26</f>
        <v>N/A</v>
      </c>
      <c r="CY9" s="146" t="str">
        <f ca="1">RESULTADOS!CC26</f>
        <v>N/A</v>
      </c>
      <c r="CZ9" s="146" t="str">
        <f ca="1">RESULTADOS!CD26</f>
        <v>N/A</v>
      </c>
      <c r="DA9" s="146" t="str">
        <f ca="1">RESULTADOS!CE26</f>
        <v>Falla</v>
      </c>
      <c r="DB9" s="146" t="str">
        <f ca="1">RESULTADOS!CF26</f>
        <v>N/A</v>
      </c>
      <c r="DC9" s="146" t="str">
        <f ca="1">RESULTADOS!CG26</f>
        <v>Falla</v>
      </c>
      <c r="DD9" s="146" t="str">
        <f ca="1">RESULTADOS!CH26</f>
        <v>Pasa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N/A</v>
      </c>
      <c r="DL9" s="146" t="str">
        <f ca="1">RESULTADOS!CP26</f>
        <v>N/A</v>
      </c>
      <c r="DM9" s="146" t="str">
        <f ca="1">RESULTADOS!CQ26</f>
        <v>N/A</v>
      </c>
      <c r="DN9" s="146" t="str">
        <f ca="1">RESULTADOS!CR26</f>
        <v>N/A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ht="13">
      <c r="C10" s="144" t="s">
        <v>283</v>
      </c>
      <c r="D10" s="147" t="str">
        <f>'01.Definición de ámbito'!C27</f>
        <v>Consorcio Transportes Madrid</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Preguntas frecuentes (Tarjeta transporte público personal)</v>
      </c>
      <c r="V10" s="148" t="str">
        <f t="shared" si="0"/>
        <v>Página web</v>
      </c>
      <c r="W10" s="148" t="str">
        <v>Ayuda</v>
      </c>
      <c r="X10" s="148" t="str">
        <f>RESULTADOS!D27</f>
        <v xml:space="preserve"> https://www.crtm.es/billetes-y-tarifas/tarjeta-transporte-publico/preguntas-frecuentes/#item23</v>
      </c>
      <c r="Y10" s="148" t="str">
        <v>Home &gt; Billetes y tarifas &gt; Tajeta Trasporte Público Personal &gt; Preguntas frecuentes</v>
      </c>
      <c r="Z10" s="237" t="str">
        <v>Texto, enlaces, buscador, iconos o imágenes</v>
      </c>
      <c r="AA10" s="146" t="str">
        <f ca="1">RESULTADOS!E27</f>
        <v>Pasa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Falla</v>
      </c>
      <c r="BG10" s="146" t="str">
        <f ca="1">RESULTADOS!AK27</f>
        <v>N/A</v>
      </c>
      <c r="BH10" s="146" t="str">
        <f ca="1">RESULTADOS!AL27</f>
        <v>N/A</v>
      </c>
      <c r="BI10" s="146" t="str">
        <f ca="1">RESULTADOS!AM27</f>
        <v>N/A</v>
      </c>
      <c r="BJ10" s="146" t="str">
        <f ca="1">RESULTADOS!AN27</f>
        <v>N/A</v>
      </c>
      <c r="BK10" s="146" t="str">
        <f ca="1">RESULTADOS!AO27</f>
        <v>Falla</v>
      </c>
      <c r="BL10" s="146" t="str">
        <f ca="1">RESULTADOS!AP27</f>
        <v>Falla</v>
      </c>
      <c r="BM10" s="146" t="str">
        <f ca="1">RESULTADOS!AQ27</f>
        <v>Falla</v>
      </c>
      <c r="BN10" s="146" t="str">
        <f ca="1">RESULTADOS!AR27</f>
        <v>Pasa</v>
      </c>
      <c r="BO10" s="146" t="str">
        <f ca="1">RESULTADOS!AS27</f>
        <v>N/A</v>
      </c>
      <c r="BP10" s="146" t="str">
        <f ca="1">RESULTADOS!AT27</f>
        <v>Falla</v>
      </c>
      <c r="BQ10" s="146" t="str">
        <f ca="1">RESULTADOS!AU27</f>
        <v>N/A</v>
      </c>
      <c r="BR10" s="146" t="str">
        <f ca="1">RESULTADOS!AV27</f>
        <v>Pasa</v>
      </c>
      <c r="BS10" s="146" t="str">
        <f ca="1">RESULTADOS!AW27</f>
        <v>Falla</v>
      </c>
      <c r="BT10" s="146" t="str">
        <f ca="1">RESULTADOS!AX27</f>
        <v>N/A</v>
      </c>
      <c r="BU10" s="146" t="str">
        <f ca="1">RESULTADOS!AY27</f>
        <v>Falla</v>
      </c>
      <c r="BV10" s="146" t="str">
        <f ca="1">RESULTADOS!AZ27</f>
        <v>Falla</v>
      </c>
      <c r="BW10" s="146" t="str">
        <f ca="1">RESULTADOS!BA27</f>
        <v>Falla</v>
      </c>
      <c r="BX10" s="146" t="str">
        <f ca="1">RESULTADOS!BB27</f>
        <v>N/A</v>
      </c>
      <c r="BY10" s="146" t="str">
        <f ca="1">RESULTADOS!BC27</f>
        <v>Pasa</v>
      </c>
      <c r="BZ10" s="146" t="str">
        <f ca="1">RESULTADOS!BD27</f>
        <v>Pasa</v>
      </c>
      <c r="CA10" s="146" t="str">
        <f ca="1">RESULTADOS!BE27</f>
        <v>Falla</v>
      </c>
      <c r="CB10" s="146" t="str">
        <f ca="1">RESULTADOS!BF27</f>
        <v>N/A</v>
      </c>
      <c r="CC10" s="146" t="str">
        <f ca="1">RESULTADOS!BG27</f>
        <v>N/A</v>
      </c>
      <c r="CD10" s="146" t="str">
        <f ca="1">RESULTADOS!BH27</f>
        <v>N/A</v>
      </c>
      <c r="CE10" s="146" t="str">
        <f ca="1">RESULTADOS!BI27</f>
        <v>Pasa</v>
      </c>
      <c r="CF10" s="146" t="str">
        <f ca="1">RESULTADOS!BJ27</f>
        <v>Pasa</v>
      </c>
      <c r="CG10" s="146" t="str">
        <f ca="1">RESULTADOS!BK27</f>
        <v>Falla</v>
      </c>
      <c r="CH10" s="146" t="str">
        <f ca="1">RESULTADOS!BL27</f>
        <v>Falla</v>
      </c>
      <c r="CI10" s="146" t="str">
        <f ca="1">RESULTADOS!BM27</f>
        <v>Pasa</v>
      </c>
      <c r="CJ10" s="146" t="str">
        <f ca="1">RESULTADOS!BN27</f>
        <v>Pasa</v>
      </c>
      <c r="CK10" s="146" t="str">
        <f ca="1">RESULTADOS!BO27</f>
        <v>Falla</v>
      </c>
      <c r="CL10" s="146" t="str">
        <f ca="1">RESULTADOS!BP27</f>
        <v>N/A</v>
      </c>
      <c r="CM10" s="146" t="str">
        <f ca="1">RESULTADOS!BQ27</f>
        <v>Pasa</v>
      </c>
      <c r="CN10" s="146" t="str">
        <f ca="1">RESULTADOS!BR27</f>
        <v>Falla</v>
      </c>
      <c r="CO10" s="146" t="str">
        <f ca="1">RESULTADOS!BS27</f>
        <v>N/A</v>
      </c>
      <c r="CP10" s="146" t="str">
        <f ca="1">RESULTADOS!BT27</f>
        <v>Pasa</v>
      </c>
      <c r="CQ10" s="146" t="str">
        <f ca="1">RESULTADOS!BU27</f>
        <v>N/A</v>
      </c>
      <c r="CR10" s="146" t="str">
        <f ca="1">RESULTADOS!BV27</f>
        <v>Pasa</v>
      </c>
      <c r="CS10" s="146" t="str">
        <f ca="1">RESULTADOS!BW27</f>
        <v>Pasa</v>
      </c>
      <c r="CT10" s="146" t="str">
        <f ca="1">RESULTADOS!BX27</f>
        <v>Pasa</v>
      </c>
      <c r="CU10" s="146" t="str">
        <f ca="1">RESULTADOS!BY27</f>
        <v>Pasa</v>
      </c>
      <c r="CV10" s="146" t="str">
        <f ca="1">RESULTADOS!BZ27</f>
        <v>N/A</v>
      </c>
      <c r="CW10" s="146" t="str">
        <f ca="1">RESULTADOS!CA27</f>
        <v>Pasa</v>
      </c>
      <c r="CX10" s="146" t="str">
        <f ca="1">RESULTADOS!CB27</f>
        <v>N/A</v>
      </c>
      <c r="CY10" s="146" t="str">
        <f ca="1">RESULTADOS!CC27</f>
        <v>N/A</v>
      </c>
      <c r="CZ10" s="146" t="str">
        <f ca="1">RESULTADOS!CD27</f>
        <v>N/A</v>
      </c>
      <c r="DA10" s="146" t="str">
        <f ca="1">RESULTADOS!CE27</f>
        <v>Falla</v>
      </c>
      <c r="DB10" s="146" t="str">
        <f ca="1">RESULTADOS!CF27</f>
        <v>N/A</v>
      </c>
      <c r="DC10" s="146" t="str">
        <f ca="1">RESULTADOS!CG27</f>
        <v>Falla</v>
      </c>
      <c r="DD10" s="146" t="str">
        <f ca="1">RESULTADOS!CH27</f>
        <v>Pasa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N/A</v>
      </c>
      <c r="DL10" s="146" t="str">
        <f ca="1">RESULTADOS!CP27</f>
        <v>N/A</v>
      </c>
      <c r="DM10" s="146" t="str">
        <f ca="1">RESULTADOS!CQ27</f>
        <v>N/A</v>
      </c>
      <c r="DN10" s="146" t="str">
        <f ca="1">RESULTADOS!CR27</f>
        <v>N/A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ht="13">
      <c r="C11" s="144" t="s">
        <v>284</v>
      </c>
      <c r="D11" s="147" t="str">
        <f>'01.Definición de ámbito'!C29</f>
        <v>https://www.crtm.es/</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Billetes y abonos (Metro)</v>
      </c>
      <c r="V11" s="148" t="str">
        <f t="shared" si="0"/>
        <v>Página web</v>
      </c>
      <c r="W11" s="148" t="str">
        <v>Pagina tipo</v>
      </c>
      <c r="X11" s="148" t="str">
        <f>RESULTADOS!D28</f>
        <v>https://www.crtm.es/billetes-y-tarifas/billetes-y-abonos/metro/?idPestana=1&amp;lang=#item10</v>
      </c>
      <c r="Y11" s="148" t="str">
        <v>Home &gt; Billetes y tarifas &gt; Billetes y abonos &gt; Metro</v>
      </c>
      <c r="Z11" s="237" t="str">
        <v>Texto, enlaces, buscador, iconos o imágenes</v>
      </c>
      <c r="AA11" s="146" t="str">
        <f ca="1">RESULTADOS!E28</f>
        <v>Pasa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Falla</v>
      </c>
      <c r="BG11" s="146" t="str">
        <f ca="1">RESULTADOS!AK28</f>
        <v>N/A</v>
      </c>
      <c r="BH11" s="146" t="str">
        <f ca="1">RESULTADOS!AL28</f>
        <v>N/A</v>
      </c>
      <c r="BI11" s="146" t="str">
        <f ca="1">RESULTADOS!AM28</f>
        <v>N/A</v>
      </c>
      <c r="BJ11" s="146" t="str">
        <f ca="1">RESULTADOS!AN28</f>
        <v>N/A</v>
      </c>
      <c r="BK11" s="146" t="str">
        <f ca="1">RESULTADOS!AO28</f>
        <v>Falla</v>
      </c>
      <c r="BL11" s="146" t="str">
        <f ca="1">RESULTADOS!AP28</f>
        <v>Falla</v>
      </c>
      <c r="BM11" s="146" t="str">
        <f ca="1">RESULTADOS!AQ28</f>
        <v>Falla</v>
      </c>
      <c r="BN11" s="146" t="str">
        <f ca="1">RESULTADOS!AR28</f>
        <v>Pasa</v>
      </c>
      <c r="BO11" s="146" t="str">
        <f ca="1">RESULTADOS!AS28</f>
        <v>N/A</v>
      </c>
      <c r="BP11" s="146" t="str">
        <f ca="1">RESULTADOS!AT28</f>
        <v>Falla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Falla</v>
      </c>
      <c r="BX11" s="146" t="str">
        <f ca="1">RESULTADOS!BB28</f>
        <v>N/A</v>
      </c>
      <c r="BY11" s="146" t="str">
        <f ca="1">RESULTADOS!BC28</f>
        <v>Pasa</v>
      </c>
      <c r="BZ11" s="146" t="str">
        <f ca="1">RESULTADOS!BD28</f>
        <v>Pasa</v>
      </c>
      <c r="CA11" s="146" t="str">
        <f ca="1">RESULTADOS!BE28</f>
        <v>Falla</v>
      </c>
      <c r="CB11" s="146" t="str">
        <f ca="1">RESULTADOS!BF28</f>
        <v>N/A</v>
      </c>
      <c r="CC11" s="146" t="str">
        <f ca="1">RESULTADOS!BG28</f>
        <v>N/A</v>
      </c>
      <c r="CD11" s="146" t="str">
        <f ca="1">RESULTADOS!BH28</f>
        <v>N/A</v>
      </c>
      <c r="CE11" s="146" t="str">
        <f ca="1">RESULTADOS!BI28</f>
        <v>Pasa</v>
      </c>
      <c r="CF11" s="146" t="str">
        <f ca="1">RESULTADOS!BJ28</f>
        <v>Pasa</v>
      </c>
      <c r="CG11" s="146" t="str">
        <f ca="1">RESULTADOS!BK28</f>
        <v>Falla</v>
      </c>
      <c r="CH11" s="146" t="str">
        <f ca="1">RESULTADOS!BL28</f>
        <v>Falla</v>
      </c>
      <c r="CI11" s="146" t="str">
        <f ca="1">RESULTADOS!BM28</f>
        <v>Pasa</v>
      </c>
      <c r="CJ11" s="146" t="str">
        <f ca="1">RESULTADOS!BN28</f>
        <v>Pasa</v>
      </c>
      <c r="CK11" s="146" t="str">
        <f ca="1">RESULTADOS!BO28</f>
        <v>Falla</v>
      </c>
      <c r="CL11" s="146" t="str">
        <f ca="1">RESULTADOS!BP28</f>
        <v>N/A</v>
      </c>
      <c r="CM11" s="146" t="str">
        <f ca="1">RESULTADOS!BQ28</f>
        <v>Pasa</v>
      </c>
      <c r="CN11" s="146" t="str">
        <f ca="1">RESULTADOS!BR28</f>
        <v>Falla</v>
      </c>
      <c r="CO11" s="146" t="str">
        <f ca="1">RESULTADOS!BS28</f>
        <v>N/A</v>
      </c>
      <c r="CP11" s="146" t="str">
        <f ca="1">RESULTADOS!BT28</f>
        <v>Pasa</v>
      </c>
      <c r="CQ11" s="146" t="str">
        <f ca="1">RESULTADOS!BU28</f>
        <v>N/A</v>
      </c>
      <c r="CR11" s="146" t="str">
        <f ca="1">RESULTADOS!BV28</f>
        <v>Pasa</v>
      </c>
      <c r="CS11" s="146" t="str">
        <f ca="1">RESULTADOS!BW28</f>
        <v>Pasa</v>
      </c>
      <c r="CT11" s="146" t="str">
        <f ca="1">RESULTADOS!BX28</f>
        <v>Pasa</v>
      </c>
      <c r="CU11" s="146" t="str">
        <f ca="1">RESULTADOS!BY28</f>
        <v>Pasa</v>
      </c>
      <c r="CV11" s="146" t="str">
        <f ca="1">RESULTADOS!BZ28</f>
        <v>N/A</v>
      </c>
      <c r="CW11" s="146" t="str">
        <f ca="1">RESULTADOS!CA28</f>
        <v>Pasa</v>
      </c>
      <c r="CX11" s="146" t="str">
        <f ca="1">RESULTADOS!CB28</f>
        <v>N/A</v>
      </c>
      <c r="CY11" s="146" t="str">
        <f ca="1">RESULTADOS!CC28</f>
        <v>N/A</v>
      </c>
      <c r="CZ11" s="146" t="str">
        <f ca="1">RESULTADOS!CD28</f>
        <v>N/A</v>
      </c>
      <c r="DA11" s="146" t="str">
        <f ca="1">RESULTADOS!CE28</f>
        <v>Falla</v>
      </c>
      <c r="DB11" s="146" t="str">
        <f ca="1">RESULTADOS!CF28</f>
        <v>N/A</v>
      </c>
      <c r="DC11" s="146" t="str">
        <f ca="1">RESULTADOS!CG28</f>
        <v>Falla</v>
      </c>
      <c r="DD11" s="146" t="str">
        <f ca="1">RESULTADOS!CH28</f>
        <v>Pasa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N/A</v>
      </c>
      <c r="DL11" s="146" t="str">
        <f ca="1">RESULTADOS!CP28</f>
        <v>N/A</v>
      </c>
      <c r="DM11" s="146" t="str">
        <f ca="1">RESULTADOS!CQ28</f>
        <v>N/A</v>
      </c>
      <c r="DN11" s="146" t="str">
        <f ca="1">RESULTADOS!CR28</f>
        <v>N/A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ht="13">
      <c r="C12" s="144" t="s">
        <v>138</v>
      </c>
      <c r="D12" s="147" t="str">
        <f>'01.Definición de ámbito'!C31</f>
        <v>Revisión del dominio solicitado</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Billetes y tarifas (App)</v>
      </c>
      <c r="V12" s="148" t="str">
        <f t="shared" si="0"/>
        <v>Página web</v>
      </c>
      <c r="W12" s="148" t="str">
        <v>Otras páginas</v>
      </c>
      <c r="X12" s="148" t="str">
        <f>RESULTADOS!D29</f>
        <v>https://www.crtm.es/billetes-y-tarifas/apps/</v>
      </c>
      <c r="Y12" s="148" t="str">
        <v>Home &gt; Billetes y tarifas &gt; Apps</v>
      </c>
      <c r="Z12" s="237" t="str">
        <v>Texto, enlaces, buscador, iconos o imágenes</v>
      </c>
      <c r="AA12" s="146" t="str">
        <f ca="1">RESULTADOS!E29</f>
        <v>Pasa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Falla</v>
      </c>
      <c r="BG12" s="146" t="str">
        <f ca="1">RESULTADOS!AK29</f>
        <v>N/A</v>
      </c>
      <c r="BH12" s="146" t="str">
        <f ca="1">RESULTADOS!AL29</f>
        <v>N/A</v>
      </c>
      <c r="BI12" s="146" t="str">
        <f ca="1">RESULTADOS!AM29</f>
        <v>N/A</v>
      </c>
      <c r="BJ12" s="146" t="str">
        <f ca="1">RESULTADOS!AN29</f>
        <v>N/A</v>
      </c>
      <c r="BK12" s="146" t="str">
        <f ca="1">RESULTADOS!AO29</f>
        <v>Falla</v>
      </c>
      <c r="BL12" s="146" t="str">
        <f ca="1">RESULTADOS!AP29</f>
        <v>Falla</v>
      </c>
      <c r="BM12" s="146" t="str">
        <f ca="1">RESULTADOS!AQ29</f>
        <v>Falla</v>
      </c>
      <c r="BN12" s="146" t="str">
        <f ca="1">RESULTADOS!AR29</f>
        <v>Pasa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Falla</v>
      </c>
      <c r="BU12" s="146" t="str">
        <f ca="1">RESULTADOS!AY29</f>
        <v>Falla</v>
      </c>
      <c r="BV12" s="146" t="str">
        <f ca="1">RESULTADOS!AZ29</f>
        <v>Falla</v>
      </c>
      <c r="BW12" s="146" t="str">
        <f ca="1">RESULTADOS!BA29</f>
        <v>Falla</v>
      </c>
      <c r="BX12" s="146" t="str">
        <f ca="1">RESULTADOS!BB29</f>
        <v>N/A</v>
      </c>
      <c r="BY12" s="146" t="str">
        <f ca="1">RESULTADOS!BC29</f>
        <v>Pasa</v>
      </c>
      <c r="BZ12" s="146" t="str">
        <f ca="1">RESULTADOS!BD29</f>
        <v>Pasa</v>
      </c>
      <c r="CA12" s="146" t="str">
        <f ca="1">RESULTADOS!BE29</f>
        <v>Falla</v>
      </c>
      <c r="CB12" s="146" t="str">
        <f ca="1">RESULTADOS!BF29</f>
        <v>N/A</v>
      </c>
      <c r="CC12" s="146" t="str">
        <f ca="1">RESULTADOS!BG29</f>
        <v>N/A</v>
      </c>
      <c r="CD12" s="146" t="str">
        <f ca="1">RESULTADOS!BH29</f>
        <v>N/A</v>
      </c>
      <c r="CE12" s="146" t="str">
        <f ca="1">RESULTADOS!BI29</f>
        <v>Pasa</v>
      </c>
      <c r="CF12" s="146" t="str">
        <f ca="1">RESULTADOS!BJ29</f>
        <v>Pasa</v>
      </c>
      <c r="CG12" s="146" t="str">
        <f ca="1">RESULTADOS!BK29</f>
        <v>Falla</v>
      </c>
      <c r="CH12" s="146" t="str">
        <f ca="1">RESULTADOS!BL29</f>
        <v>Falla</v>
      </c>
      <c r="CI12" s="146" t="str">
        <f ca="1">RESULTADOS!BM29</f>
        <v>Pasa</v>
      </c>
      <c r="CJ12" s="146" t="str">
        <f ca="1">RESULTADOS!BN29</f>
        <v>Pasa</v>
      </c>
      <c r="CK12" s="146" t="str">
        <f ca="1">RESULTADOS!BO29</f>
        <v>Pasa</v>
      </c>
      <c r="CL12" s="146" t="str">
        <f ca="1">RESULTADOS!BP29</f>
        <v>N/A</v>
      </c>
      <c r="CM12" s="146" t="str">
        <f ca="1">RESULTADOS!BQ29</f>
        <v>Pasa</v>
      </c>
      <c r="CN12" s="146" t="str">
        <f ca="1">RESULTADOS!BR29</f>
        <v>Falla</v>
      </c>
      <c r="CO12" s="146" t="str">
        <f ca="1">RESULTADOS!BS29</f>
        <v>N/A</v>
      </c>
      <c r="CP12" s="146" t="str">
        <f ca="1">RESULTADOS!BT29</f>
        <v>Pasa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Pasa</v>
      </c>
      <c r="CX12" s="146" t="str">
        <f ca="1">RESULTADOS!CB29</f>
        <v>N/A</v>
      </c>
      <c r="CY12" s="146" t="str">
        <f ca="1">RESULTADOS!CC29</f>
        <v>N/A</v>
      </c>
      <c r="CZ12" s="146" t="str">
        <f ca="1">RESULTADOS!CD29</f>
        <v>N/A</v>
      </c>
      <c r="DA12" s="146" t="str">
        <f ca="1">RESULTADOS!CE29</f>
        <v>Falla</v>
      </c>
      <c r="DB12" s="146" t="str">
        <f ca="1">RESULTADOS!CF29</f>
        <v>N/A</v>
      </c>
      <c r="DC12" s="146" t="str">
        <f ca="1">RESULTADOS!CG29</f>
        <v>Falla</v>
      </c>
      <c r="DD12" s="146" t="str">
        <f ca="1">RESULTADOS!CH29</f>
        <v>Pasa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N/A</v>
      </c>
      <c r="DL12" s="146" t="str">
        <f ca="1">RESULTADOS!CP29</f>
        <v>N/A</v>
      </c>
      <c r="DM12" s="146" t="str">
        <f ca="1">RESULTADOS!CQ29</f>
        <v>N/A</v>
      </c>
      <c r="DN12" s="146" t="str">
        <f ca="1">RESULTADOS!CR29</f>
        <v>N/A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ht="13">
      <c r="C13" s="144" t="s">
        <v>285</v>
      </c>
      <c r="D13" s="147" t="str">
        <f>'01.Definición de ámbito'!C33</f>
        <v>Consorcio Transportes Madrid</v>
      </c>
      <c r="E13" s="144" t="s">
        <v>297</v>
      </c>
      <c r="F13" s="147" t="str">
        <f>'02.Tecnologías'!I10</f>
        <v>No</v>
      </c>
      <c r="G13" s="147">
        <f>'02.Tecnologías'!K23</f>
        <v>0</v>
      </c>
      <c r="H13" s="147">
        <f>'02.Tecnologías'!L23</f>
        <v>0</v>
      </c>
      <c r="I13" s="206"/>
      <c r="J13" s="206"/>
      <c r="K13" s="40" t="s">
        <v>149</v>
      </c>
      <c r="L13" s="208" t="str">
        <f ca="1">RESULTADOS!E8</f>
        <v>19 (20,65 %)</v>
      </c>
      <c r="M13" s="208" t="str">
        <f ca="1">RESULTADOS!F8</f>
        <v>23 (25 %)</v>
      </c>
      <c r="N13" s="208" t="str">
        <f ca="1">RESULTADOS!G8</f>
        <v>50 (54,35 %)</v>
      </c>
      <c r="O13" s="148">
        <f ca="1">RESULTADOS!H8</f>
        <v>0</v>
      </c>
      <c r="P13" s="148">
        <f ca="1">RESULTADOS!I8</f>
        <v>0</v>
      </c>
      <c r="T13" s="148">
        <f>RESULTADOS!B30</f>
        <v>11</v>
      </c>
      <c r="U13" s="148" t="str">
        <f>RESULTADOS!C30</f>
        <v>Atención al cliente</v>
      </c>
      <c r="V13" s="148" t="str">
        <f t="shared" si="0"/>
        <v>Página web</v>
      </c>
      <c r="W13" s="148" t="str">
        <v>Pagina tipo</v>
      </c>
      <c r="X13" s="148" t="str">
        <f>RESULTADOS!D30</f>
        <v>https://www.crtm.es/atencion-al-cliente/</v>
      </c>
      <c r="Y13" s="148" t="str">
        <v>Home &gt; Atención al cliente</v>
      </c>
      <c r="Z13" s="237" t="str">
        <v>Texto, enlaces, buscador, iconos o imágenes</v>
      </c>
      <c r="AA13" s="146" t="str">
        <f ca="1">RESULTADOS!E30</f>
        <v>Pasa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Falla</v>
      </c>
      <c r="BG13" s="146" t="str">
        <f ca="1">RESULTADOS!AK30</f>
        <v>N/A</v>
      </c>
      <c r="BH13" s="146" t="str">
        <f ca="1">RESULTADOS!AL30</f>
        <v>N/A</v>
      </c>
      <c r="BI13" s="146" t="str">
        <f ca="1">RESULTADOS!AM30</f>
        <v>N/A</v>
      </c>
      <c r="BJ13" s="146" t="str">
        <f ca="1">RESULTADOS!AN30</f>
        <v>N/A</v>
      </c>
      <c r="BK13" s="146" t="str">
        <f ca="1">RESULTADOS!AO30</f>
        <v>Falla</v>
      </c>
      <c r="BL13" s="146" t="str">
        <f ca="1">RESULTADOS!AP30</f>
        <v>Falla</v>
      </c>
      <c r="BM13" s="146" t="str">
        <f ca="1">RESULTADOS!AQ30</f>
        <v>Falla</v>
      </c>
      <c r="BN13" s="146" t="str">
        <f ca="1">RESULTADOS!AR30</f>
        <v>Pasa</v>
      </c>
      <c r="BO13" s="146" t="str">
        <f ca="1">RESULTADOS!AS30</f>
        <v>N/A</v>
      </c>
      <c r="BP13" s="146" t="str">
        <f ca="1">RESULTADOS!AT30</f>
        <v>Falla</v>
      </c>
      <c r="BQ13" s="146" t="str">
        <f ca="1">RESULTADOS!AU30</f>
        <v>N/A</v>
      </c>
      <c r="BR13" s="146" t="str">
        <f ca="1">RESULTADOS!AV30</f>
        <v>Falla</v>
      </c>
      <c r="BS13" s="146" t="str">
        <f ca="1">RESULTADOS!AW30</f>
        <v>Falla</v>
      </c>
      <c r="BT13" s="146" t="str">
        <f ca="1">RESULTADOS!AX30</f>
        <v>N/A</v>
      </c>
      <c r="BU13" s="146" t="str">
        <f ca="1">RESULTADOS!AY30</f>
        <v>Falla</v>
      </c>
      <c r="BV13" s="146" t="str">
        <f ca="1">RESULTADOS!AZ30</f>
        <v>Falla</v>
      </c>
      <c r="BW13" s="146" t="str">
        <f ca="1">RESULTADOS!BA30</f>
        <v>Falla</v>
      </c>
      <c r="BX13" s="146" t="str">
        <f ca="1">RESULTADOS!BB30</f>
        <v>N/A</v>
      </c>
      <c r="BY13" s="146" t="str">
        <f ca="1">RESULTADOS!BC30</f>
        <v>Falla</v>
      </c>
      <c r="BZ13" s="146" t="str">
        <f ca="1">RESULTADOS!BD30</f>
        <v>Pasa</v>
      </c>
      <c r="CA13" s="146" t="str">
        <f ca="1">RESULTADOS!BE30</f>
        <v>Falla</v>
      </c>
      <c r="CB13" s="146" t="str">
        <f ca="1">RESULTADOS!BF30</f>
        <v>N/A</v>
      </c>
      <c r="CC13" s="146" t="str">
        <f ca="1">RESULTADOS!BG30</f>
        <v>N/A</v>
      </c>
      <c r="CD13" s="146" t="str">
        <f ca="1">RESULTADOS!BH30</f>
        <v>N/A</v>
      </c>
      <c r="CE13" s="146" t="str">
        <f ca="1">RESULTADOS!BI30</f>
        <v>Pasa</v>
      </c>
      <c r="CF13" s="146" t="str">
        <f ca="1">RESULTADOS!BJ30</f>
        <v>Pasa</v>
      </c>
      <c r="CG13" s="146" t="str">
        <f ca="1">RESULTADOS!BK30</f>
        <v>Falla</v>
      </c>
      <c r="CH13" s="146" t="str">
        <f ca="1">RESULTADOS!BL30</f>
        <v>Falla</v>
      </c>
      <c r="CI13" s="146" t="str">
        <f ca="1">RESULTADOS!BM30</f>
        <v>Pasa</v>
      </c>
      <c r="CJ13" s="146" t="str">
        <f ca="1">RESULTADOS!BN30</f>
        <v>Pasa</v>
      </c>
      <c r="CK13" s="146" t="str">
        <f ca="1">RESULTADOS!BO30</f>
        <v>Pasa</v>
      </c>
      <c r="CL13" s="146" t="str">
        <f ca="1">RESULTADOS!BP30</f>
        <v>N/A</v>
      </c>
      <c r="CM13" s="146" t="str">
        <f ca="1">RESULTADOS!BQ30</f>
        <v>Pasa</v>
      </c>
      <c r="CN13" s="146" t="str">
        <f ca="1">RESULTADOS!BR30</f>
        <v>Falla</v>
      </c>
      <c r="CO13" s="146" t="str">
        <f ca="1">RESULTADOS!BS30</f>
        <v>N/A</v>
      </c>
      <c r="CP13" s="146" t="str">
        <f ca="1">RESULTADOS!BT30</f>
        <v>Pasa</v>
      </c>
      <c r="CQ13" s="146" t="str">
        <f ca="1">RESULTADOS!BU30</f>
        <v>N/A</v>
      </c>
      <c r="CR13" s="146" t="str">
        <f ca="1">RESULTADOS!BV30</f>
        <v>Pasa</v>
      </c>
      <c r="CS13" s="146" t="str">
        <f ca="1">RESULTADOS!BW30</f>
        <v>Pasa</v>
      </c>
      <c r="CT13" s="146" t="str">
        <f ca="1">RESULTADOS!BX30</f>
        <v>Pasa</v>
      </c>
      <c r="CU13" s="146" t="str">
        <f ca="1">RESULTADOS!BY30</f>
        <v>Pasa</v>
      </c>
      <c r="CV13" s="146" t="str">
        <f ca="1">RESULTADOS!BZ30</f>
        <v>N/A</v>
      </c>
      <c r="CW13" s="146" t="str">
        <f ca="1">RESULTADOS!CA30</f>
        <v>Pasa</v>
      </c>
      <c r="CX13" s="146" t="str">
        <f ca="1">RESULTADOS!CB30</f>
        <v>N/A</v>
      </c>
      <c r="CY13" s="146" t="str">
        <f ca="1">RESULTADOS!CC30</f>
        <v>N/A</v>
      </c>
      <c r="CZ13" s="146" t="str">
        <f ca="1">RESULTADOS!CD30</f>
        <v>N/A</v>
      </c>
      <c r="DA13" s="146" t="str">
        <f ca="1">RESULTADOS!CE30</f>
        <v>Falla</v>
      </c>
      <c r="DB13" s="146" t="str">
        <f ca="1">RESULTADOS!CF30</f>
        <v>N/A</v>
      </c>
      <c r="DC13" s="146" t="str">
        <f ca="1">RESULTADOS!CG30</f>
        <v>Falla</v>
      </c>
      <c r="DD13" s="146" t="str">
        <f ca="1">RESULTADOS!CH30</f>
        <v>Pasa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N/A</v>
      </c>
      <c r="DL13" s="146" t="str">
        <f ca="1">RESULTADOS!CP30</f>
        <v>N/A</v>
      </c>
      <c r="DM13" s="146" t="str">
        <f ca="1">RESULTADOS!CQ30</f>
        <v>N/A</v>
      </c>
      <c r="DN13" s="146" t="str">
        <f ca="1">RESULTADOS!CR30</f>
        <v>N/A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ht="13">
      <c r="C14" s="144" t="s">
        <v>139</v>
      </c>
      <c r="D14" s="147">
        <f>'01.Definición de ámbito'!C35</f>
        <v>45800</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Conócenos</v>
      </c>
      <c r="V14" s="148" t="str">
        <f t="shared" si="0"/>
        <v>Página web</v>
      </c>
      <c r="W14" s="148" t="str">
        <v>Aleatoria</v>
      </c>
      <c r="X14" s="148" t="str">
        <f>RESULTADOS!D31</f>
        <v>https://www.crtm.es/conocenos/#CentrodeDocumentacion</v>
      </c>
      <c r="Y14" s="148" t="str">
        <v>Home &gt; Conócenos</v>
      </c>
      <c r="Z14" s="237" t="str">
        <v>Texto, enlaces, buscador, iconos o imágenes</v>
      </c>
      <c r="AA14" s="146" t="str">
        <f ca="1">RESULTADOS!E31</f>
        <v>Pasa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Falla</v>
      </c>
      <c r="BG14" s="146" t="str">
        <f ca="1">RESULTADOS!AK31</f>
        <v>N/A</v>
      </c>
      <c r="BH14" s="146" t="str">
        <f ca="1">RESULTADOS!AL31</f>
        <v>N/A</v>
      </c>
      <c r="BI14" s="146" t="str">
        <f ca="1">RESULTADOS!AM31</f>
        <v>N/A</v>
      </c>
      <c r="BJ14" s="146" t="str">
        <f ca="1">RESULTADOS!AN31</f>
        <v>N/A</v>
      </c>
      <c r="BK14" s="146" t="str">
        <f ca="1">RESULTADOS!AO31</f>
        <v>Falla</v>
      </c>
      <c r="BL14" s="146" t="str">
        <f ca="1">RESULTADOS!AP31</f>
        <v>Falla</v>
      </c>
      <c r="BM14" s="146" t="str">
        <f ca="1">RESULTADOS!AQ31</f>
        <v>Falla</v>
      </c>
      <c r="BN14" s="146" t="str">
        <f ca="1">RESULTADOS!AR31</f>
        <v>Pasa</v>
      </c>
      <c r="BO14" s="146" t="str">
        <f ca="1">RESULTADOS!AS31</f>
        <v>N/A</v>
      </c>
      <c r="BP14" s="146" t="str">
        <f ca="1">RESULTADOS!AT31</f>
        <v>Falla</v>
      </c>
      <c r="BQ14" s="146" t="str">
        <f ca="1">RESULTADOS!AU31</f>
        <v>N/A</v>
      </c>
      <c r="BR14" s="146" t="str">
        <f ca="1">RESULTADOS!AV31</f>
        <v>Falla</v>
      </c>
      <c r="BS14" s="146" t="str">
        <f ca="1">RESULTADOS!AW31</f>
        <v>Falla</v>
      </c>
      <c r="BT14" s="146" t="str">
        <f ca="1">RESULTADOS!AX31</f>
        <v>N/A</v>
      </c>
      <c r="BU14" s="146" t="str">
        <f ca="1">RESULTADOS!AY31</f>
        <v>Falla</v>
      </c>
      <c r="BV14" s="146" t="str">
        <f ca="1">RESULTADOS!AZ31</f>
        <v>Falla</v>
      </c>
      <c r="BW14" s="146" t="str">
        <f ca="1">RESULTADOS!BA31</f>
        <v>Falla</v>
      </c>
      <c r="BX14" s="146" t="str">
        <f ca="1">RESULTADOS!BB31</f>
        <v>N/A</v>
      </c>
      <c r="BY14" s="146" t="str">
        <f ca="1">RESULTADOS!BC31</f>
        <v>Pasa</v>
      </c>
      <c r="BZ14" s="146" t="str">
        <f ca="1">RESULTADOS!BD31</f>
        <v>Pasa</v>
      </c>
      <c r="CA14" s="146" t="str">
        <f ca="1">RESULTADOS!BE31</f>
        <v>Falla</v>
      </c>
      <c r="CB14" s="146" t="str">
        <f ca="1">RESULTADOS!BF31</f>
        <v>N/A</v>
      </c>
      <c r="CC14" s="146" t="str">
        <f ca="1">RESULTADOS!BG31</f>
        <v>N/A</v>
      </c>
      <c r="CD14" s="146" t="str">
        <f ca="1">RESULTADOS!BH31</f>
        <v>N/A</v>
      </c>
      <c r="CE14" s="146" t="str">
        <f ca="1">RESULTADOS!BI31</f>
        <v>Pasa</v>
      </c>
      <c r="CF14" s="146" t="str">
        <f ca="1">RESULTADOS!BJ31</f>
        <v>Pasa</v>
      </c>
      <c r="CG14" s="146" t="str">
        <f ca="1">RESULTADOS!BK31</f>
        <v>Falla</v>
      </c>
      <c r="CH14" s="146" t="str">
        <f ca="1">RESULTADOS!BL31</f>
        <v>Falla</v>
      </c>
      <c r="CI14" s="146" t="str">
        <f ca="1">RESULTADOS!BM31</f>
        <v>Pasa</v>
      </c>
      <c r="CJ14" s="146" t="str">
        <f ca="1">RESULTADOS!BN31</f>
        <v>Pasa</v>
      </c>
      <c r="CK14" s="146" t="str">
        <f ca="1">RESULTADOS!BO31</f>
        <v>Pasa</v>
      </c>
      <c r="CL14" s="146" t="str">
        <f ca="1">RESULTADOS!BP31</f>
        <v>N/A</v>
      </c>
      <c r="CM14" s="146" t="str">
        <f ca="1">RESULTADOS!BQ31</f>
        <v>Pasa</v>
      </c>
      <c r="CN14" s="146" t="str">
        <f ca="1">RESULTADOS!BR31</f>
        <v>Falla</v>
      </c>
      <c r="CO14" s="146" t="str">
        <f ca="1">RESULTADOS!BS31</f>
        <v>N/A</v>
      </c>
      <c r="CP14" s="146" t="str">
        <f ca="1">RESULTADOS!BT31</f>
        <v>Pasa</v>
      </c>
      <c r="CQ14" s="146" t="str">
        <f ca="1">RESULTADOS!BU31</f>
        <v>N/A</v>
      </c>
      <c r="CR14" s="146" t="str">
        <f ca="1">RESULTADOS!BV31</f>
        <v>Pasa</v>
      </c>
      <c r="CS14" s="146" t="str">
        <f ca="1">RESULTADOS!BW31</f>
        <v>Pasa</v>
      </c>
      <c r="CT14" s="146" t="str">
        <f ca="1">RESULTADOS!BX31</f>
        <v>Pasa</v>
      </c>
      <c r="CU14" s="146" t="str">
        <f ca="1">RESULTADOS!BY31</f>
        <v>Pasa</v>
      </c>
      <c r="CV14" s="146" t="str">
        <f ca="1">RESULTADOS!BZ31</f>
        <v>N/A</v>
      </c>
      <c r="CW14" s="146" t="str">
        <f ca="1">RESULTADOS!CA31</f>
        <v>Pasa</v>
      </c>
      <c r="CX14" s="146" t="str">
        <f ca="1">RESULTADOS!CB31</f>
        <v>N/A</v>
      </c>
      <c r="CY14" s="146" t="str">
        <f ca="1">RESULTADOS!CC31</f>
        <v>N/A</v>
      </c>
      <c r="CZ14" s="146" t="str">
        <f ca="1">RESULTADOS!CD31</f>
        <v>N/A</v>
      </c>
      <c r="DA14" s="146" t="str">
        <f ca="1">RESULTADOS!CE31</f>
        <v>Falla</v>
      </c>
      <c r="DB14" s="146" t="str">
        <f ca="1">RESULTADOS!CF31</f>
        <v>N/A</v>
      </c>
      <c r="DC14" s="146" t="str">
        <f ca="1">RESULTADOS!CG31</f>
        <v>Falla</v>
      </c>
      <c r="DD14" s="146" t="str">
        <f ca="1">RESULTADOS!CH31</f>
        <v>Pasa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N/A</v>
      </c>
      <c r="DL14" s="146" t="str">
        <f ca="1">RESULTADOS!CP31</f>
        <v>N/A</v>
      </c>
      <c r="DM14" s="146" t="str">
        <f ca="1">RESULTADOS!CQ31</f>
        <v>N/A</v>
      </c>
      <c r="DN14" s="146" t="str">
        <f ca="1">RESULTADOS!CR31</f>
        <v>N/A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ht="13">
      <c r="C15" s="144" t="s">
        <v>141</v>
      </c>
      <c r="D15" s="147" t="str">
        <f>'01.Definición de ámbito'!C39</f>
        <v>UNE-EN 301 549:2022 - excluyendo el contenido excluido por el RD 1112/2018</v>
      </c>
      <c r="E15" s="144" t="s">
        <v>303</v>
      </c>
      <c r="F15" s="147" t="str">
        <f>'02.Tecnologías'!I12</f>
        <v>No</v>
      </c>
      <c r="G15" s="205"/>
      <c r="H15" s="205"/>
      <c r="I15" s="205"/>
      <c r="J15" s="205"/>
      <c r="T15" s="148">
        <f>RESULTADOS!B32</f>
        <v>13</v>
      </c>
      <c r="U15" s="148" t="str">
        <f>RESULTADOS!C32</f>
        <v>Actualidad del servicio</v>
      </c>
      <c r="V15" s="148" t="str">
        <f t="shared" si="0"/>
        <v>Página web</v>
      </c>
      <c r="W15" s="148" t="str">
        <v>Búsqueda</v>
      </c>
      <c r="X15" s="148" t="str">
        <f>RESULTADOS!D32</f>
        <v>https://www.crtm.es/comunicacion/actualidad-del-servicio/?idPestana=1&amp;lang=es</v>
      </c>
      <c r="Y15" s="148" t="str">
        <v>Home &gt; Comunicación &gt; Actualidad del Servicio</v>
      </c>
      <c r="Z15" s="237" t="str">
        <v>Texto, enlaces, buscador, iconos o imágenes</v>
      </c>
      <c r="AA15" s="146" t="str">
        <f ca="1">RESULTADOS!E32</f>
        <v>Pasa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Falla</v>
      </c>
      <c r="BG15" s="146" t="str">
        <f ca="1">RESULTADOS!AK32</f>
        <v>N/A</v>
      </c>
      <c r="BH15" s="146" t="str">
        <f ca="1">RESULTADOS!AL32</f>
        <v>N/A</v>
      </c>
      <c r="BI15" s="146" t="str">
        <f ca="1">RESULTADOS!AM32</f>
        <v>N/A</v>
      </c>
      <c r="BJ15" s="146" t="str">
        <f ca="1">RESULTADOS!AN32</f>
        <v>N/A</v>
      </c>
      <c r="BK15" s="146" t="str">
        <f ca="1">RESULTADOS!AO32</f>
        <v>Falla</v>
      </c>
      <c r="BL15" s="146" t="str">
        <f ca="1">RESULTADOS!AP32</f>
        <v>Falla</v>
      </c>
      <c r="BM15" s="146" t="str">
        <f ca="1">RESULTADOS!AQ32</f>
        <v>Falla</v>
      </c>
      <c r="BN15" s="146" t="str">
        <f ca="1">RESULTADOS!AR32</f>
        <v>Pasa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Falla</v>
      </c>
      <c r="BV15" s="146" t="str">
        <f ca="1">RESULTADOS!AZ32</f>
        <v>Falla</v>
      </c>
      <c r="BW15" s="146" t="str">
        <f ca="1">RESULTADOS!BA32</f>
        <v>Falla</v>
      </c>
      <c r="BX15" s="146" t="str">
        <f ca="1">RESULTADOS!BB32</f>
        <v>N/A</v>
      </c>
      <c r="BY15" s="146" t="str">
        <f ca="1">RESULTADOS!BC32</f>
        <v>Pasa</v>
      </c>
      <c r="BZ15" s="146" t="str">
        <f ca="1">RESULTADOS!BD32</f>
        <v>Pasa</v>
      </c>
      <c r="CA15" s="146" t="str">
        <f ca="1">RESULTADOS!BE32</f>
        <v>Falla</v>
      </c>
      <c r="CB15" s="146" t="str">
        <f ca="1">RESULTADOS!BF32</f>
        <v>N/A</v>
      </c>
      <c r="CC15" s="146" t="str">
        <f ca="1">RESULTADOS!BG32</f>
        <v>N/A</v>
      </c>
      <c r="CD15" s="146" t="str">
        <f ca="1">RESULTADOS!BH32</f>
        <v>N/A</v>
      </c>
      <c r="CE15" s="146" t="str">
        <f ca="1">RESULTADOS!BI32</f>
        <v>Pasa</v>
      </c>
      <c r="CF15" s="146" t="str">
        <f ca="1">RESULTADOS!BJ32</f>
        <v>Pasa</v>
      </c>
      <c r="CG15" s="146" t="str">
        <f ca="1">RESULTADOS!BK32</f>
        <v>Falla</v>
      </c>
      <c r="CH15" s="146" t="str">
        <f ca="1">RESULTADOS!BL32</f>
        <v>Falla</v>
      </c>
      <c r="CI15" s="146" t="str">
        <f ca="1">RESULTADOS!BM32</f>
        <v>Pasa</v>
      </c>
      <c r="CJ15" s="146" t="str">
        <f ca="1">RESULTADOS!BN32</f>
        <v>Pasa</v>
      </c>
      <c r="CK15" s="146" t="str">
        <f ca="1">RESULTADOS!BO32</f>
        <v>Pasa</v>
      </c>
      <c r="CL15" s="146" t="str">
        <f ca="1">RESULTADOS!BP32</f>
        <v>N/A</v>
      </c>
      <c r="CM15" s="146" t="str">
        <f ca="1">RESULTADOS!BQ32</f>
        <v>Pasa</v>
      </c>
      <c r="CN15" s="146" t="str">
        <f ca="1">RESULTADOS!BR32</f>
        <v>Falla</v>
      </c>
      <c r="CO15" s="146" t="str">
        <f ca="1">RESULTADOS!BS32</f>
        <v>N/A</v>
      </c>
      <c r="CP15" s="146" t="str">
        <f ca="1">RESULTADOS!BT32</f>
        <v>Pasa</v>
      </c>
      <c r="CQ15" s="146" t="str">
        <f ca="1">RESULTADOS!BU32</f>
        <v>N/A</v>
      </c>
      <c r="CR15" s="146" t="str">
        <f ca="1">RESULTADOS!BV32</f>
        <v>Pasa</v>
      </c>
      <c r="CS15" s="146" t="str">
        <f ca="1">RESULTADOS!BW32</f>
        <v>Pasa</v>
      </c>
      <c r="CT15" s="146" t="str">
        <f ca="1">RESULTADOS!BX32</f>
        <v>Pasa</v>
      </c>
      <c r="CU15" s="146" t="str">
        <f ca="1">RESULTADOS!BY32</f>
        <v>Pasa</v>
      </c>
      <c r="CV15" s="146" t="str">
        <f ca="1">RESULTADOS!BZ32</f>
        <v>Falla</v>
      </c>
      <c r="CW15" s="146" t="str">
        <f ca="1">RESULTADOS!CA32</f>
        <v>Pasa</v>
      </c>
      <c r="CX15" s="146" t="str">
        <f ca="1">RESULTADOS!CB32</f>
        <v>Falla</v>
      </c>
      <c r="CY15" s="146" t="str">
        <f ca="1">RESULTADOS!CC32</f>
        <v>N/A</v>
      </c>
      <c r="CZ15" s="146" t="str">
        <f ca="1">RESULTADOS!CD32</f>
        <v>N/A</v>
      </c>
      <c r="DA15" s="146" t="str">
        <f ca="1">RESULTADOS!CE32</f>
        <v>Falla</v>
      </c>
      <c r="DB15" s="146" t="str">
        <f ca="1">RESULTADOS!CF32</f>
        <v>N/A</v>
      </c>
      <c r="DC15" s="146" t="str">
        <f ca="1">RESULTADOS!CG32</f>
        <v>Falla</v>
      </c>
      <c r="DD15" s="146" t="str">
        <f ca="1">RESULTADOS!CH32</f>
        <v>Pasa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N/A</v>
      </c>
      <c r="DL15" s="146" t="str">
        <f ca="1">RESULTADOS!CP32</f>
        <v>N/A</v>
      </c>
      <c r="DM15" s="146" t="str">
        <f ca="1">RESULTADOS!CQ32</f>
        <v>N/A</v>
      </c>
      <c r="DN15" s="146" t="str">
        <f ca="1">RESULTADOS!CR32</f>
        <v>N/A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ht="13">
      <c r="C16" s="144" t="s">
        <v>142</v>
      </c>
      <c r="D16" s="147" t="str">
        <f>'01.Definición de ámbito'!C41</f>
        <v xml:space="preserve">Sistema Operativo: Windows 11 Enterprise
Navegador: Google Chrome Versión 135.0.7049.42 (Build oficial) (64 bits)
Herramientas utilizadas:  LightHouse, Color Contrast Analyzer, HeadingsMap, Screen reader, Siteimprove, taba11y y  UserCSS </v>
      </c>
      <c r="F16" s="205"/>
      <c r="G16" s="205"/>
      <c r="H16" s="205"/>
      <c r="I16" s="205"/>
      <c r="J16" s="205"/>
      <c r="T16" s="148">
        <f>RESULTADOS!B33</f>
        <v>14</v>
      </c>
      <c r="U16" s="148" t="str">
        <f>RESULTADOS!C33</f>
        <v>Galería de fotos</v>
      </c>
      <c r="V16" s="148" t="str">
        <f t="shared" si="0"/>
        <v>Página web</v>
      </c>
      <c r="W16" s="148" t="str">
        <v>Pagina tipo</v>
      </c>
      <c r="X16" s="148" t="str">
        <f>RESULTADOS!D33</f>
        <v>https://www.crtm.es/comunicacion/multimedia/galeria-de-fotos/</v>
      </c>
      <c r="Y16" s="148" t="str">
        <v>Home &gt; Comunicación &gt; Multimedia &gt; Galería de fotos</v>
      </c>
      <c r="Z16" s="237" t="str">
        <v>Texto, enlaces, buscador, iconos o imágenes</v>
      </c>
      <c r="AA16" s="146" t="str">
        <f ca="1">RESULTADOS!E33</f>
        <v>Pasa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Falla</v>
      </c>
      <c r="BG16" s="146" t="str">
        <f ca="1">RESULTADOS!AK33</f>
        <v>N/A</v>
      </c>
      <c r="BH16" s="146" t="str">
        <f ca="1">RESULTADOS!AL33</f>
        <v>N/A</v>
      </c>
      <c r="BI16" s="146" t="str">
        <f ca="1">RESULTADOS!AM33</f>
        <v>N/A</v>
      </c>
      <c r="BJ16" s="146" t="str">
        <f ca="1">RESULTADOS!AN33</f>
        <v>N/A</v>
      </c>
      <c r="BK16" s="146" t="str">
        <f ca="1">RESULTADOS!AO33</f>
        <v>Falla</v>
      </c>
      <c r="BL16" s="146" t="str">
        <f ca="1">RESULTADOS!AP33</f>
        <v>Falla</v>
      </c>
      <c r="BM16" s="146" t="str">
        <f ca="1">RESULTADOS!AQ33</f>
        <v>Falla</v>
      </c>
      <c r="BN16" s="146" t="str">
        <f ca="1">RESULTADOS!AR33</f>
        <v>Pasa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Falla</v>
      </c>
      <c r="BV16" s="146" t="str">
        <f ca="1">RESULTADOS!AZ33</f>
        <v>Falla</v>
      </c>
      <c r="BW16" s="146" t="str">
        <f ca="1">RESULTADOS!BA33</f>
        <v>Falla</v>
      </c>
      <c r="BX16" s="146" t="str">
        <f ca="1">RESULTADOS!BB33</f>
        <v>N/A</v>
      </c>
      <c r="BY16" s="146" t="str">
        <f ca="1">RESULTADOS!BC33</f>
        <v>Pasa</v>
      </c>
      <c r="BZ16" s="146" t="str">
        <f ca="1">RESULTADOS!BD33</f>
        <v>Pasa</v>
      </c>
      <c r="CA16" s="146" t="str">
        <f ca="1">RESULTADOS!BE33</f>
        <v>Falla</v>
      </c>
      <c r="CB16" s="146" t="str">
        <f ca="1">RESULTADOS!BF33</f>
        <v>N/A</v>
      </c>
      <c r="CC16" s="146" t="str">
        <f ca="1">RESULTADOS!BG33</f>
        <v>N/A</v>
      </c>
      <c r="CD16" s="146" t="str">
        <f ca="1">RESULTADOS!BH33</f>
        <v>N/A</v>
      </c>
      <c r="CE16" s="146" t="str">
        <f ca="1">RESULTADOS!BI33</f>
        <v>Pasa</v>
      </c>
      <c r="CF16" s="146" t="str">
        <f ca="1">RESULTADOS!BJ33</f>
        <v>Pasa</v>
      </c>
      <c r="CG16" s="146" t="str">
        <f ca="1">RESULTADOS!BK33</f>
        <v>Falla</v>
      </c>
      <c r="CH16" s="146" t="str">
        <f ca="1">RESULTADOS!BL33</f>
        <v>Falla</v>
      </c>
      <c r="CI16" s="146" t="str">
        <f ca="1">RESULTADOS!BM33</f>
        <v>Pasa</v>
      </c>
      <c r="CJ16" s="146" t="str">
        <f ca="1">RESULTADOS!BN33</f>
        <v>Pasa</v>
      </c>
      <c r="CK16" s="146" t="str">
        <f ca="1">RESULTADOS!BO33</f>
        <v>Pasa</v>
      </c>
      <c r="CL16" s="146" t="str">
        <f ca="1">RESULTADOS!BP33</f>
        <v>N/A</v>
      </c>
      <c r="CM16" s="146" t="str">
        <f ca="1">RESULTADOS!BQ33</f>
        <v>Pasa</v>
      </c>
      <c r="CN16" s="146" t="str">
        <f ca="1">RESULTADOS!BR33</f>
        <v>Falla</v>
      </c>
      <c r="CO16" s="146" t="str">
        <f ca="1">RESULTADOS!BS33</f>
        <v>N/A</v>
      </c>
      <c r="CP16" s="146" t="str">
        <f ca="1">RESULTADOS!BT33</f>
        <v>Pasa</v>
      </c>
      <c r="CQ16" s="146" t="str">
        <f ca="1">RESULTADOS!BU33</f>
        <v>N/A</v>
      </c>
      <c r="CR16" s="146" t="str">
        <f ca="1">RESULTADOS!BV33</f>
        <v>Pasa</v>
      </c>
      <c r="CS16" s="146" t="str">
        <f ca="1">RESULTADOS!BW33</f>
        <v>Pasa</v>
      </c>
      <c r="CT16" s="146" t="str">
        <f ca="1">RESULTADOS!BX33</f>
        <v>Pasa</v>
      </c>
      <c r="CU16" s="146" t="str">
        <f ca="1">RESULTADOS!BY33</f>
        <v>Pasa</v>
      </c>
      <c r="CV16" s="146" t="str">
        <f ca="1">RESULTADOS!BZ33</f>
        <v>N/A</v>
      </c>
      <c r="CW16" s="146" t="str">
        <f ca="1">RESULTADOS!CA33</f>
        <v>Pasa</v>
      </c>
      <c r="CX16" s="146" t="str">
        <f ca="1">RESULTADOS!CB33</f>
        <v>N/A</v>
      </c>
      <c r="CY16" s="146" t="str">
        <f ca="1">RESULTADOS!CC33</f>
        <v>N/A</v>
      </c>
      <c r="CZ16" s="146" t="str">
        <f ca="1">RESULTADOS!CD33</f>
        <v>N/A</v>
      </c>
      <c r="DA16" s="146" t="str">
        <f ca="1">RESULTADOS!CE33</f>
        <v>Falla</v>
      </c>
      <c r="DB16" s="146" t="str">
        <f ca="1">RESULTADOS!CF33</f>
        <v>N/A</v>
      </c>
      <c r="DC16" s="146" t="str">
        <f ca="1">RESULTADOS!CG33</f>
        <v>Falla</v>
      </c>
      <c r="DD16" s="146" t="str">
        <f ca="1">RESULTADOS!CH33</f>
        <v>Pasa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N/A</v>
      </c>
      <c r="DL16" s="146" t="str">
        <f ca="1">RESULTADOS!CP33</f>
        <v>N/A</v>
      </c>
      <c r="DM16" s="146" t="str">
        <f ca="1">RESULTADOS!CQ33</f>
        <v>N/A</v>
      </c>
      <c r="DN16" s="146" t="str">
        <f ca="1">RESULTADOS!CR33</f>
        <v>N/A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ht="13">
      <c r="C17" s="144" t="s">
        <v>143</v>
      </c>
      <c r="D17" s="147" t="str">
        <f>'01.Definición de ámbito'!C45</f>
        <v>CCAA</v>
      </c>
      <c r="K17" s="40" t="s">
        <v>137</v>
      </c>
      <c r="T17" s="148">
        <f>RESULTADOS!B34</f>
        <v>15</v>
      </c>
      <c r="U17" s="148" t="str">
        <f>RESULTADOS!C34</f>
        <v>Mapa web</v>
      </c>
      <c r="V17" s="148" t="str">
        <f t="shared" si="0"/>
        <v>Página web</v>
      </c>
      <c r="W17" s="148" t="str">
        <v>Mapa web</v>
      </c>
      <c r="X17" s="148" t="str">
        <f>RESULTADOS!D34</f>
        <v>https://www.crtm.es/mapa-web</v>
      </c>
      <c r="Y17" s="148" t="str">
        <v>Home &gt; Mapa Web</v>
      </c>
      <c r="Z17" s="237" t="str">
        <v>Texto, enlaces, buscador, iconos o imágenes</v>
      </c>
      <c r="AA17" s="146" t="str">
        <f ca="1">RESULTADOS!E34</f>
        <v>Pasa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Falla</v>
      </c>
      <c r="BG17" s="146" t="str">
        <f ca="1">RESULTADOS!AK34</f>
        <v>N/A</v>
      </c>
      <c r="BH17" s="146" t="str">
        <f ca="1">RESULTADOS!AL34</f>
        <v>N/A</v>
      </c>
      <c r="BI17" s="146" t="str">
        <f ca="1">RESULTADOS!AM34</f>
        <v>N/A</v>
      </c>
      <c r="BJ17" s="146" t="str">
        <f ca="1">RESULTADOS!AN34</f>
        <v>N/A</v>
      </c>
      <c r="BK17" s="146" t="str">
        <f ca="1">RESULTADOS!AO34</f>
        <v>Falla</v>
      </c>
      <c r="BL17" s="146" t="str">
        <f ca="1">RESULTADOS!AP34</f>
        <v>Falla</v>
      </c>
      <c r="BM17" s="146" t="str">
        <f ca="1">RESULTADOS!AQ34</f>
        <v>Falla</v>
      </c>
      <c r="BN17" s="146" t="str">
        <f ca="1">RESULTADOS!AR34</f>
        <v>Pasa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Falla</v>
      </c>
      <c r="BV17" s="146" t="str">
        <f ca="1">RESULTADOS!AZ34</f>
        <v>Falla</v>
      </c>
      <c r="BW17" s="146" t="str">
        <f ca="1">RESULTADOS!BA34</f>
        <v>Falla</v>
      </c>
      <c r="BX17" s="146" t="str">
        <f ca="1">RESULTADOS!BB34</f>
        <v>N/A</v>
      </c>
      <c r="BY17" s="146" t="str">
        <f ca="1">RESULTADOS!BC34</f>
        <v>Pasa</v>
      </c>
      <c r="BZ17" s="146" t="str">
        <f ca="1">RESULTADOS!BD34</f>
        <v>Pasa</v>
      </c>
      <c r="CA17" s="146" t="str">
        <f ca="1">RESULTADOS!BE34</f>
        <v>Falla</v>
      </c>
      <c r="CB17" s="146" t="str">
        <f ca="1">RESULTADOS!BF34</f>
        <v>N/A</v>
      </c>
      <c r="CC17" s="146" t="str">
        <f ca="1">RESULTADOS!BG34</f>
        <v>N/A</v>
      </c>
      <c r="CD17" s="146" t="str">
        <f ca="1">RESULTADOS!BH34</f>
        <v>N/A</v>
      </c>
      <c r="CE17" s="146" t="str">
        <f ca="1">RESULTADOS!BI34</f>
        <v>Pasa</v>
      </c>
      <c r="CF17" s="146" t="str">
        <f ca="1">RESULTADOS!BJ34</f>
        <v>Pasa</v>
      </c>
      <c r="CG17" s="146" t="str">
        <f ca="1">RESULTADOS!BK34</f>
        <v>Falla</v>
      </c>
      <c r="CH17" s="146" t="str">
        <f ca="1">RESULTADOS!BL34</f>
        <v>Falla</v>
      </c>
      <c r="CI17" s="146" t="str">
        <f ca="1">RESULTADOS!BM34</f>
        <v>Pasa</v>
      </c>
      <c r="CJ17" s="146" t="str">
        <f ca="1">RESULTADOS!BN34</f>
        <v>Pasa</v>
      </c>
      <c r="CK17" s="146" t="str">
        <f ca="1">RESULTADOS!BO34</f>
        <v>Pasa</v>
      </c>
      <c r="CL17" s="146" t="str">
        <f ca="1">RESULTADOS!BP34</f>
        <v>N/A</v>
      </c>
      <c r="CM17" s="146" t="str">
        <f ca="1">RESULTADOS!BQ34</f>
        <v>Pasa</v>
      </c>
      <c r="CN17" s="146" t="str">
        <f ca="1">RESULTADOS!BR34</f>
        <v>Falla</v>
      </c>
      <c r="CO17" s="146" t="str">
        <f ca="1">RESULTADOS!BS34</f>
        <v>N/A</v>
      </c>
      <c r="CP17" s="146" t="str">
        <f ca="1">RESULTADOS!BT34</f>
        <v>Pasa</v>
      </c>
      <c r="CQ17" s="146" t="str">
        <f ca="1">RESULTADOS!BU34</f>
        <v>N/A</v>
      </c>
      <c r="CR17" s="146" t="str">
        <f ca="1">RESULTADOS!BV34</f>
        <v>Pasa</v>
      </c>
      <c r="CS17" s="146" t="str">
        <f ca="1">RESULTADOS!BW34</f>
        <v>Pasa</v>
      </c>
      <c r="CT17" s="146" t="str">
        <f ca="1">RESULTADOS!BX34</f>
        <v>Pasa</v>
      </c>
      <c r="CU17" s="146" t="str">
        <f ca="1">RESULTADOS!BY34</f>
        <v>Pasa</v>
      </c>
      <c r="CV17" s="146" t="str">
        <f ca="1">RESULTADOS!BZ34</f>
        <v>N/A</v>
      </c>
      <c r="CW17" s="146" t="str">
        <f ca="1">RESULTADOS!CA34</f>
        <v>Pasa</v>
      </c>
      <c r="CX17" s="146" t="str">
        <f ca="1">RESULTADOS!CB34</f>
        <v>N/A</v>
      </c>
      <c r="CY17" s="146" t="str">
        <f ca="1">RESULTADOS!CC34</f>
        <v>N/A</v>
      </c>
      <c r="CZ17" s="146" t="str">
        <f ca="1">RESULTADOS!CD34</f>
        <v>N/A</v>
      </c>
      <c r="DA17" s="146" t="str">
        <f ca="1">RESULTADOS!CE34</f>
        <v>Falla</v>
      </c>
      <c r="DB17" s="146" t="str">
        <f ca="1">RESULTADOS!CF34</f>
        <v>N/A</v>
      </c>
      <c r="DC17" s="146" t="str">
        <f ca="1">RESULTADOS!CG34</f>
        <v>Falla</v>
      </c>
      <c r="DD17" s="146" t="str">
        <f ca="1">RESULTADOS!CH34</f>
        <v>Pasa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N/A</v>
      </c>
      <c r="DL17" s="146" t="str">
        <f ca="1">RESULTADOS!CP34</f>
        <v>N/A</v>
      </c>
      <c r="DM17" s="146" t="str">
        <f ca="1">RESULTADOS!CQ34</f>
        <v>N/A</v>
      </c>
      <c r="DN17" s="146" t="str">
        <f ca="1">RESULTADOS!CR34</f>
        <v>N/A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ht="13">
      <c r="C18" s="144" t="s">
        <v>5</v>
      </c>
      <c r="D18" s="147" t="str">
        <f>'01.Definición de ámbito'!D48</f>
        <v>No</v>
      </c>
      <c r="K18" s="40" t="s">
        <v>25</v>
      </c>
      <c r="L18" s="148">
        <f ca="1">RESULTADOS!L8</f>
        <v>383</v>
      </c>
      <c r="M18" s="216">
        <f ca="1">RESULTADOS!M8</f>
        <v>0.19824016563146998</v>
      </c>
      <c r="T18" s="148">
        <f>RESULTADOS!B35</f>
        <v>16</v>
      </c>
      <c r="U18" s="148" t="str">
        <f>RESULTADOS!C35</f>
        <v>Protección de datos</v>
      </c>
      <c r="V18" s="148" t="str">
        <f t="shared" si="0"/>
        <v>Página web</v>
      </c>
      <c r="W18" s="148" t="str">
        <v>Legal</v>
      </c>
      <c r="X18" s="148" t="str">
        <f>RESULTADOS!D35</f>
        <v>https://www.crtm.es/proteccion-de-datos</v>
      </c>
      <c r="Y18" s="148" t="str">
        <v>Home &gt; Protección de datos</v>
      </c>
      <c r="Z18" s="237" t="str">
        <v>Texto, enlaces, buscador, iconos o imágenes</v>
      </c>
      <c r="AA18" s="146" t="str">
        <f ca="1">RESULTADOS!E35</f>
        <v>Pasa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Falla</v>
      </c>
      <c r="BG18" s="146" t="str">
        <f ca="1">RESULTADOS!AK35</f>
        <v>N/A</v>
      </c>
      <c r="BH18" s="146" t="str">
        <f ca="1">RESULTADOS!AL35</f>
        <v>N/A</v>
      </c>
      <c r="BI18" s="146" t="str">
        <f ca="1">RESULTADOS!AM35</f>
        <v>N/A</v>
      </c>
      <c r="BJ18" s="146" t="str">
        <f ca="1">RESULTADOS!AN35</f>
        <v>N/A</v>
      </c>
      <c r="BK18" s="146" t="str">
        <f ca="1">RESULTADOS!AO35</f>
        <v>Falla</v>
      </c>
      <c r="BL18" s="146" t="str">
        <f ca="1">RESULTADOS!AP35</f>
        <v>Falla</v>
      </c>
      <c r="BM18" s="146" t="str">
        <f ca="1">RESULTADOS!AQ35</f>
        <v>Falla</v>
      </c>
      <c r="BN18" s="146" t="str">
        <f ca="1">RESULTADOS!AR35</f>
        <v>Pasa</v>
      </c>
      <c r="BO18" s="146" t="str">
        <f ca="1">RESULTADOS!AS35</f>
        <v>N/A</v>
      </c>
      <c r="BP18" s="146" t="str">
        <f ca="1">RESULTADOS!AT35</f>
        <v>Falla</v>
      </c>
      <c r="BQ18" s="146" t="str">
        <f ca="1">RESULTADOS!AU35</f>
        <v>N/A</v>
      </c>
      <c r="BR18" s="146" t="str">
        <f ca="1">RESULTADOS!AV35</f>
        <v>Pasa</v>
      </c>
      <c r="BS18" s="146" t="str">
        <f ca="1">RESULTADOS!AW35</f>
        <v>Falla</v>
      </c>
      <c r="BT18" s="146" t="str">
        <f ca="1">RESULTADOS!AX35</f>
        <v>N/A</v>
      </c>
      <c r="BU18" s="146" t="str">
        <f ca="1">RESULTADOS!AY35</f>
        <v>Falla</v>
      </c>
      <c r="BV18" s="146" t="str">
        <f ca="1">RESULTADOS!AZ35</f>
        <v>Falla</v>
      </c>
      <c r="BW18" s="146" t="str">
        <f ca="1">RESULTADOS!BA35</f>
        <v>Falla</v>
      </c>
      <c r="BX18" s="146" t="str">
        <f ca="1">RESULTADOS!BB35</f>
        <v>N/A</v>
      </c>
      <c r="BY18" s="146" t="str">
        <f ca="1">RESULTADOS!BC35</f>
        <v>Pasa</v>
      </c>
      <c r="BZ18" s="146" t="str">
        <f ca="1">RESULTADOS!BD35</f>
        <v>Pasa</v>
      </c>
      <c r="CA18" s="146" t="str">
        <f ca="1">RESULTADOS!BE35</f>
        <v>Falla</v>
      </c>
      <c r="CB18" s="146" t="str">
        <f ca="1">RESULTADOS!BF35</f>
        <v>N/A</v>
      </c>
      <c r="CC18" s="146" t="str">
        <f ca="1">RESULTADOS!BG35</f>
        <v>N/A</v>
      </c>
      <c r="CD18" s="146" t="str">
        <f ca="1">RESULTADOS!BH35</f>
        <v>N/A</v>
      </c>
      <c r="CE18" s="146" t="str">
        <f ca="1">RESULTADOS!BI35</f>
        <v>Pasa</v>
      </c>
      <c r="CF18" s="146" t="str">
        <f ca="1">RESULTADOS!BJ35</f>
        <v>Pasa</v>
      </c>
      <c r="CG18" s="146" t="str">
        <f ca="1">RESULTADOS!BK35</f>
        <v>Falla</v>
      </c>
      <c r="CH18" s="146" t="str">
        <f ca="1">RESULTADOS!BL35</f>
        <v>Falla</v>
      </c>
      <c r="CI18" s="146" t="str">
        <f ca="1">RESULTADOS!BM35</f>
        <v>Pasa</v>
      </c>
      <c r="CJ18" s="146" t="str">
        <f ca="1">RESULTADOS!BN35</f>
        <v>Pasa</v>
      </c>
      <c r="CK18" s="146" t="str">
        <f ca="1">RESULTADOS!BO35</f>
        <v>Pasa</v>
      </c>
      <c r="CL18" s="146" t="str">
        <f ca="1">RESULTADOS!BP35</f>
        <v>N/A</v>
      </c>
      <c r="CM18" s="146" t="str">
        <f ca="1">RESULTADOS!BQ35</f>
        <v>Pasa</v>
      </c>
      <c r="CN18" s="146" t="str">
        <f ca="1">RESULTADOS!BR35</f>
        <v>Falla</v>
      </c>
      <c r="CO18" s="146" t="str">
        <f ca="1">RESULTADOS!BS35</f>
        <v>N/A</v>
      </c>
      <c r="CP18" s="146" t="str">
        <f ca="1">RESULTADOS!BT35</f>
        <v>Pasa</v>
      </c>
      <c r="CQ18" s="146" t="str">
        <f ca="1">RESULTADOS!BU35</f>
        <v>N/A</v>
      </c>
      <c r="CR18" s="146" t="str">
        <f ca="1">RESULTADOS!BV35</f>
        <v>Pasa</v>
      </c>
      <c r="CS18" s="146" t="str">
        <f ca="1">RESULTADOS!BW35</f>
        <v>Pasa</v>
      </c>
      <c r="CT18" s="146" t="str">
        <f ca="1">RESULTADOS!BX35</f>
        <v>Pasa</v>
      </c>
      <c r="CU18" s="146" t="str">
        <f ca="1">RESULTADOS!BY35</f>
        <v>Pasa</v>
      </c>
      <c r="CV18" s="146" t="str">
        <f ca="1">RESULTADOS!BZ35</f>
        <v>N/A</v>
      </c>
      <c r="CW18" s="146" t="str">
        <f ca="1">RESULTADOS!CA35</f>
        <v>Pasa</v>
      </c>
      <c r="CX18" s="146" t="str">
        <f ca="1">RESULTADOS!CB35</f>
        <v>N/A</v>
      </c>
      <c r="CY18" s="146" t="str">
        <f ca="1">RESULTADOS!CC35</f>
        <v>N/A</v>
      </c>
      <c r="CZ18" s="146" t="str">
        <f ca="1">RESULTADOS!CD35</f>
        <v>N/A</v>
      </c>
      <c r="DA18" s="146" t="str">
        <f ca="1">RESULTADOS!CE35</f>
        <v>Falla</v>
      </c>
      <c r="DB18" s="146" t="str">
        <f ca="1">RESULTADOS!CF35</f>
        <v>N/A</v>
      </c>
      <c r="DC18" s="146" t="str">
        <f ca="1">RESULTADOS!CG35</f>
        <v>Falla</v>
      </c>
      <c r="DD18" s="146" t="str">
        <f ca="1">RESULTADOS!CH35</f>
        <v>Pasa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N/A</v>
      </c>
      <c r="DL18" s="146" t="str">
        <f ca="1">RESULTADOS!CP35</f>
        <v>N/A</v>
      </c>
      <c r="DM18" s="146" t="str">
        <f ca="1">RESULTADOS!CQ35</f>
        <v>N/A</v>
      </c>
      <c r="DN18" s="146" t="str">
        <f ca="1">RESULTADOS!CR35</f>
        <v>N/A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ht="13">
      <c r="C19" s="144" t="s">
        <v>273</v>
      </c>
      <c r="D19" s="147" t="str">
        <f>'01.Definición de ámbito'!D49</f>
        <v>No</v>
      </c>
      <c r="K19" s="40" t="s">
        <v>27</v>
      </c>
      <c r="L19" s="148">
        <f ca="1">RESULTADOS!L9</f>
        <v>316</v>
      </c>
      <c r="M19" s="216">
        <f ca="1">RESULTADOS!M9</f>
        <v>0.16356107660455488</v>
      </c>
      <c r="T19" s="148">
        <f>RESULTADOS!B36</f>
        <v>17</v>
      </c>
      <c r="U19" s="148" t="str">
        <f>RESULTADOS!C36</f>
        <v>Política de cookies</v>
      </c>
      <c r="V19" s="148" t="str">
        <f t="shared" si="0"/>
        <v>Página web</v>
      </c>
      <c r="W19" s="148" t="str">
        <v>Legal</v>
      </c>
      <c r="X19" s="148" t="str">
        <f>RESULTADOS!D36</f>
        <v>https://www.crtm.es/politica-de-cookies</v>
      </c>
      <c r="Y19" s="148" t="str">
        <v>Home &gt; Política de cookies</v>
      </c>
      <c r="Z19" s="237" t="str">
        <v>Texto, enlaces, buscador, iconos o imágenes</v>
      </c>
      <c r="AA19" s="146" t="str">
        <f ca="1">RESULTADOS!E36</f>
        <v>Pasa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Falla</v>
      </c>
      <c r="BG19" s="146" t="str">
        <f ca="1">RESULTADOS!AK36</f>
        <v>N/A</v>
      </c>
      <c r="BH19" s="146" t="str">
        <f ca="1">RESULTADOS!AL36</f>
        <v>N/A</v>
      </c>
      <c r="BI19" s="146" t="str">
        <f ca="1">RESULTADOS!AM36</f>
        <v>N/A</v>
      </c>
      <c r="BJ19" s="146" t="str">
        <f ca="1">RESULTADOS!AN36</f>
        <v>N/A</v>
      </c>
      <c r="BK19" s="146" t="str">
        <f ca="1">RESULTADOS!AO36</f>
        <v>Falla</v>
      </c>
      <c r="BL19" s="146" t="str">
        <f ca="1">RESULTADOS!AP36</f>
        <v>Falla</v>
      </c>
      <c r="BM19" s="146" t="str">
        <f ca="1">RESULTADOS!AQ36</f>
        <v>Falla</v>
      </c>
      <c r="BN19" s="146" t="str">
        <f ca="1">RESULTADOS!AR36</f>
        <v>Pasa</v>
      </c>
      <c r="BO19" s="146" t="str">
        <f ca="1">RESULTADOS!AS36</f>
        <v>N/A</v>
      </c>
      <c r="BP19" s="146" t="str">
        <f ca="1">RESULTADOS!AT36</f>
        <v>Falla</v>
      </c>
      <c r="BQ19" s="146" t="str">
        <f ca="1">RESULTADOS!AU36</f>
        <v>N/A</v>
      </c>
      <c r="BR19" s="146" t="str">
        <f ca="1">RESULTADOS!AV36</f>
        <v>Pasa</v>
      </c>
      <c r="BS19" s="146" t="str">
        <f ca="1">RESULTADOS!AW36</f>
        <v>Falla</v>
      </c>
      <c r="BT19" s="146" t="str">
        <f ca="1">RESULTADOS!AX36</f>
        <v>N/A</v>
      </c>
      <c r="BU19" s="146" t="str">
        <f ca="1">RESULTADOS!AY36</f>
        <v>Falla</v>
      </c>
      <c r="BV19" s="146" t="str">
        <f ca="1">RESULTADOS!AZ36</f>
        <v>Falla</v>
      </c>
      <c r="BW19" s="146" t="str">
        <f ca="1">RESULTADOS!BA36</f>
        <v>Falla</v>
      </c>
      <c r="BX19" s="146" t="str">
        <f ca="1">RESULTADOS!BB36</f>
        <v>N/A</v>
      </c>
      <c r="BY19" s="146" t="str">
        <f ca="1">RESULTADOS!BC36</f>
        <v>Pasa</v>
      </c>
      <c r="BZ19" s="146" t="str">
        <f ca="1">RESULTADOS!BD36</f>
        <v>Pasa</v>
      </c>
      <c r="CA19" s="146" t="str">
        <f ca="1">RESULTADOS!BE36</f>
        <v>Falla</v>
      </c>
      <c r="CB19" s="146" t="str">
        <f ca="1">RESULTADOS!BF36</f>
        <v>N/A</v>
      </c>
      <c r="CC19" s="146" t="str">
        <f ca="1">RESULTADOS!BG36</f>
        <v>N/A</v>
      </c>
      <c r="CD19" s="146" t="str">
        <f ca="1">RESULTADOS!BH36</f>
        <v>N/A</v>
      </c>
      <c r="CE19" s="146" t="str">
        <f ca="1">RESULTADOS!BI36</f>
        <v>Pasa</v>
      </c>
      <c r="CF19" s="146" t="str">
        <f ca="1">RESULTADOS!BJ36</f>
        <v>Pasa</v>
      </c>
      <c r="CG19" s="146" t="str">
        <f ca="1">RESULTADOS!BK36</f>
        <v>Falla</v>
      </c>
      <c r="CH19" s="146" t="str">
        <f ca="1">RESULTADOS!BL36</f>
        <v>Falla</v>
      </c>
      <c r="CI19" s="146" t="str">
        <f ca="1">RESULTADOS!BM36</f>
        <v>Pasa</v>
      </c>
      <c r="CJ19" s="146" t="str">
        <f ca="1">RESULTADOS!BN36</f>
        <v>Pasa</v>
      </c>
      <c r="CK19" s="146" t="str">
        <f ca="1">RESULTADOS!BO36</f>
        <v>Pasa</v>
      </c>
      <c r="CL19" s="146" t="str">
        <f ca="1">RESULTADOS!BP36</f>
        <v>N/A</v>
      </c>
      <c r="CM19" s="146" t="str">
        <f ca="1">RESULTADOS!BQ36</f>
        <v>Pasa</v>
      </c>
      <c r="CN19" s="146" t="str">
        <f ca="1">RESULTADOS!BR36</f>
        <v>Falla</v>
      </c>
      <c r="CO19" s="146" t="str">
        <f ca="1">RESULTADOS!BS36</f>
        <v>N/A</v>
      </c>
      <c r="CP19" s="146" t="str">
        <f ca="1">RESULTADOS!BT36</f>
        <v>Pasa</v>
      </c>
      <c r="CQ19" s="146" t="str">
        <f ca="1">RESULTADOS!BU36</f>
        <v>N/A</v>
      </c>
      <c r="CR19" s="146" t="str">
        <f ca="1">RESULTADOS!BV36</f>
        <v>Pasa</v>
      </c>
      <c r="CS19" s="146" t="str">
        <f ca="1">RESULTADOS!BW36</f>
        <v>Pasa</v>
      </c>
      <c r="CT19" s="146" t="str">
        <f ca="1">RESULTADOS!BX36</f>
        <v>Pasa</v>
      </c>
      <c r="CU19" s="146" t="str">
        <f ca="1">RESULTADOS!BY36</f>
        <v>Pasa</v>
      </c>
      <c r="CV19" s="146" t="str">
        <f ca="1">RESULTADOS!BZ36</f>
        <v>N/A</v>
      </c>
      <c r="CW19" s="146" t="str">
        <f ca="1">RESULTADOS!CA36</f>
        <v>Pasa</v>
      </c>
      <c r="CX19" s="146" t="str">
        <f ca="1">RESULTADOS!CB36</f>
        <v>N/A</v>
      </c>
      <c r="CY19" s="146" t="str">
        <f ca="1">RESULTADOS!CC36</f>
        <v>N/A</v>
      </c>
      <c r="CZ19" s="146" t="str">
        <f ca="1">RESULTADOS!CD36</f>
        <v>N/A</v>
      </c>
      <c r="DA19" s="146" t="str">
        <f ca="1">RESULTADOS!CE36</f>
        <v>Falla</v>
      </c>
      <c r="DB19" s="146" t="str">
        <f ca="1">RESULTADOS!CF36</f>
        <v>N/A</v>
      </c>
      <c r="DC19" s="146" t="str">
        <f ca="1">RESULTADOS!CG36</f>
        <v>Falla</v>
      </c>
      <c r="DD19" s="146" t="str">
        <f ca="1">RESULTADOS!CH36</f>
        <v>Pasa</v>
      </c>
      <c r="DE19" s="146" t="str">
        <f ca="1">RESULTADOS!CI36</f>
        <v>N/A</v>
      </c>
      <c r="DF19" s="146" t="str">
        <f ca="1">RESULTADOS!CJ36</f>
        <v>N/A</v>
      </c>
      <c r="DG19" s="146" t="str">
        <f ca="1">RESULTADOS!CK36</f>
        <v>N/A</v>
      </c>
      <c r="DH19" s="146" t="str">
        <f ca="1">RESULTADOS!CL36</f>
        <v>N/A</v>
      </c>
      <c r="DI19" s="146" t="str">
        <f ca="1">RESULTADOS!CM36</f>
        <v>N/A</v>
      </c>
      <c r="DJ19" s="146" t="str">
        <f ca="1">RESULTADOS!CN36</f>
        <v>N/A</v>
      </c>
      <c r="DK19" s="146" t="str">
        <f ca="1">RESULTADOS!CO36</f>
        <v>N/A</v>
      </c>
      <c r="DL19" s="146" t="str">
        <f ca="1">RESULTADOS!CP36</f>
        <v>N/A</v>
      </c>
      <c r="DM19" s="146" t="str">
        <f ca="1">RESULTADOS!CQ36</f>
        <v>N/A</v>
      </c>
      <c r="DN19" s="146" t="str">
        <f ca="1">RESULTADOS!CR36</f>
        <v>N/A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ht="13">
      <c r="C20" s="144" t="s">
        <v>274</v>
      </c>
      <c r="D20" s="147" t="str">
        <f>'01.Definición de ámbito'!D50</f>
        <v>No</v>
      </c>
      <c r="K20" s="40" t="s">
        <v>30</v>
      </c>
      <c r="L20" s="148">
        <f ca="1">RESULTADOS!L10</f>
        <v>1233</v>
      </c>
      <c r="M20" s="216">
        <f ca="1">RESULTADOS!M10</f>
        <v>0.63819875776397517</v>
      </c>
      <c r="T20" s="148">
        <f>RESULTADOS!B37</f>
        <v>18</v>
      </c>
      <c r="U20" s="148" t="str">
        <f>RESULTADOS!C37</f>
        <v>Aviso Legal</v>
      </c>
      <c r="V20" s="148" t="str">
        <f t="shared" si="0"/>
        <v>Página web</v>
      </c>
      <c r="W20" s="148" t="str">
        <v>Legal</v>
      </c>
      <c r="X20" s="148" t="str">
        <f>RESULTADOS!D37</f>
        <v>https://www.crtm.es/aviso-legal</v>
      </c>
      <c r="Y20" s="148" t="str">
        <v>Home &gt; Aviso Legal</v>
      </c>
      <c r="Z20" s="237" t="str">
        <v>Texto, enlaces, buscador, iconos o imágenes</v>
      </c>
      <c r="AA20" s="146" t="str">
        <f ca="1">RESULTADOS!E37</f>
        <v>Pasa</v>
      </c>
      <c r="AB20" s="146" t="str">
        <f ca="1">RESULTADOS!F37</f>
        <v>N/A</v>
      </c>
      <c r="AC20" s="146" t="str">
        <f ca="1">RESULTADOS!G37</f>
        <v>N/A</v>
      </c>
      <c r="AD20" s="146" t="str">
        <f ca="1">RESULTADOS!H37</f>
        <v>N/A</v>
      </c>
      <c r="AE20" s="146" t="str">
        <f ca="1">RESULTADOS!I37</f>
        <v>N/A</v>
      </c>
      <c r="AF20" s="146" t="str">
        <f ca="1">RESULTADOS!J37</f>
        <v>N/A</v>
      </c>
      <c r="AG20" s="146" t="str">
        <f ca="1">RESULTADOS!K37</f>
        <v>N/A</v>
      </c>
      <c r="AH20" s="146" t="str">
        <f ca="1">RESULTADOS!L37</f>
        <v>N/A</v>
      </c>
      <c r="AI20" s="146" t="str">
        <f ca="1">RESULTADOS!M37</f>
        <v>N/A</v>
      </c>
      <c r="AJ20" s="146" t="str">
        <f ca="1">RESULTADOS!N37</f>
        <v>N/A</v>
      </c>
      <c r="AK20" s="146" t="str">
        <f ca="1">RESULTADOS!O37</f>
        <v>N/A</v>
      </c>
      <c r="AL20" s="146" t="str">
        <f ca="1">RESULTADOS!P37</f>
        <v>N/A</v>
      </c>
      <c r="AM20" s="146" t="str">
        <f ca="1">RESULTADOS!Q37</f>
        <v>N/A</v>
      </c>
      <c r="AN20" s="146" t="str">
        <f ca="1">RESULTADOS!R37</f>
        <v>N/A</v>
      </c>
      <c r="AO20" s="146" t="str">
        <f ca="1">RESULTADOS!S37</f>
        <v>N/A</v>
      </c>
      <c r="AP20" s="146" t="str">
        <f ca="1">RESULTADOS!T37</f>
        <v>N/A</v>
      </c>
      <c r="AQ20" s="146" t="str">
        <f ca="1">RESULTADOS!U37</f>
        <v>N/A</v>
      </c>
      <c r="AR20" s="146" t="str">
        <f ca="1">RESULTADOS!V37</f>
        <v>N/A</v>
      </c>
      <c r="AS20" s="146" t="str">
        <f ca="1">RESULTADOS!W37</f>
        <v>N/A</v>
      </c>
      <c r="AT20" s="146" t="str">
        <f ca="1">RESULTADOS!X37</f>
        <v>N/A</v>
      </c>
      <c r="AU20" s="146" t="str">
        <f ca="1">RESULTADOS!Y37</f>
        <v>N/A</v>
      </c>
      <c r="AV20" s="146" t="str">
        <f ca="1">RESULTADOS!Z37</f>
        <v>N/A</v>
      </c>
      <c r="AW20" s="146" t="str">
        <f ca="1">RESULTADOS!AA37</f>
        <v>N/A</v>
      </c>
      <c r="AX20" s="146" t="str">
        <f ca="1">RESULTADOS!AB37</f>
        <v>N/A</v>
      </c>
      <c r="AY20" s="146" t="str">
        <f ca="1">RESULTADOS!AC37</f>
        <v>N/A</v>
      </c>
      <c r="AZ20" s="146" t="str">
        <f ca="1">RESULTADOS!AD37</f>
        <v>N/A</v>
      </c>
      <c r="BA20" s="146" t="str">
        <f ca="1">RESULTADOS!AE37</f>
        <v>N/A</v>
      </c>
      <c r="BB20" s="146" t="str">
        <f ca="1">RESULTADOS!AF37</f>
        <v>N/A</v>
      </c>
      <c r="BC20" s="146" t="str">
        <f ca="1">RESULTADOS!AG37</f>
        <v>N/A</v>
      </c>
      <c r="BD20" s="146" t="str">
        <f ca="1">RESULTADOS!AH37</f>
        <v>N/A</v>
      </c>
      <c r="BE20" s="146" t="str">
        <f ca="1">RESULTADOS!AI37</f>
        <v>N/A</v>
      </c>
      <c r="BF20" s="146" t="str">
        <f ca="1">RESULTADOS!AJ37</f>
        <v>Falla</v>
      </c>
      <c r="BG20" s="146" t="str">
        <f ca="1">RESULTADOS!AK37</f>
        <v>N/A</v>
      </c>
      <c r="BH20" s="146" t="str">
        <f ca="1">RESULTADOS!AL37</f>
        <v>N/A</v>
      </c>
      <c r="BI20" s="146" t="str">
        <f ca="1">RESULTADOS!AM37</f>
        <v>N/A</v>
      </c>
      <c r="BJ20" s="146" t="str">
        <f ca="1">RESULTADOS!AN37</f>
        <v>N/A</v>
      </c>
      <c r="BK20" s="146" t="str">
        <f ca="1">RESULTADOS!AO37</f>
        <v>Falla</v>
      </c>
      <c r="BL20" s="146" t="str">
        <f ca="1">RESULTADOS!AP37</f>
        <v>Falla</v>
      </c>
      <c r="BM20" s="146" t="str">
        <f ca="1">RESULTADOS!AQ37</f>
        <v>Falla</v>
      </c>
      <c r="BN20" s="146" t="str">
        <f ca="1">RESULTADOS!AR37</f>
        <v>Pasa</v>
      </c>
      <c r="BO20" s="146" t="str">
        <f ca="1">RESULTADOS!AS37</f>
        <v>N/A</v>
      </c>
      <c r="BP20" s="146" t="str">
        <f ca="1">RESULTADOS!AT37</f>
        <v>Falla</v>
      </c>
      <c r="BQ20" s="146" t="str">
        <f ca="1">RESULTADOS!AU37</f>
        <v>N/A</v>
      </c>
      <c r="BR20" s="146" t="str">
        <f ca="1">RESULTADOS!AV37</f>
        <v>Pasa</v>
      </c>
      <c r="BS20" s="146" t="str">
        <f ca="1">RESULTADOS!AW37</f>
        <v>Falla</v>
      </c>
      <c r="BT20" s="146" t="str">
        <f ca="1">RESULTADOS!AX37</f>
        <v>N/A</v>
      </c>
      <c r="BU20" s="146" t="str">
        <f ca="1">RESULTADOS!AY37</f>
        <v>Falla</v>
      </c>
      <c r="BV20" s="146" t="str">
        <f ca="1">RESULTADOS!AZ37</f>
        <v>Falla</v>
      </c>
      <c r="BW20" s="146" t="str">
        <f ca="1">RESULTADOS!BA37</f>
        <v>Falla</v>
      </c>
      <c r="BX20" s="146" t="str">
        <f ca="1">RESULTADOS!BB37</f>
        <v>N/A</v>
      </c>
      <c r="BY20" s="146" t="str">
        <f ca="1">RESULTADOS!BC37</f>
        <v>Pasa</v>
      </c>
      <c r="BZ20" s="146" t="str">
        <f ca="1">RESULTADOS!BD37</f>
        <v>Pasa</v>
      </c>
      <c r="CA20" s="146" t="str">
        <f ca="1">RESULTADOS!BE37</f>
        <v>Falla</v>
      </c>
      <c r="CB20" s="146" t="str">
        <f ca="1">RESULTADOS!BF37</f>
        <v>N/A</v>
      </c>
      <c r="CC20" s="146" t="str">
        <f ca="1">RESULTADOS!BG37</f>
        <v>N/A</v>
      </c>
      <c r="CD20" s="146" t="str">
        <f ca="1">RESULTADOS!BH37</f>
        <v>N/A</v>
      </c>
      <c r="CE20" s="146" t="str">
        <f ca="1">RESULTADOS!BI37</f>
        <v>Pasa</v>
      </c>
      <c r="CF20" s="146" t="str">
        <f ca="1">RESULTADOS!BJ37</f>
        <v>Pasa</v>
      </c>
      <c r="CG20" s="146" t="str">
        <f ca="1">RESULTADOS!BK37</f>
        <v>Falla</v>
      </c>
      <c r="CH20" s="146" t="str">
        <f ca="1">RESULTADOS!BL37</f>
        <v>Falla</v>
      </c>
      <c r="CI20" s="146" t="str">
        <f ca="1">RESULTADOS!BM37</f>
        <v>Pasa</v>
      </c>
      <c r="CJ20" s="146" t="str">
        <f ca="1">RESULTADOS!BN37</f>
        <v>Pasa</v>
      </c>
      <c r="CK20" s="146" t="str">
        <f ca="1">RESULTADOS!BO37</f>
        <v>Pasa</v>
      </c>
      <c r="CL20" s="146" t="str">
        <f ca="1">RESULTADOS!BP37</f>
        <v>N/A</v>
      </c>
      <c r="CM20" s="146" t="str">
        <f ca="1">RESULTADOS!BQ37</f>
        <v>Pasa</v>
      </c>
      <c r="CN20" s="146" t="str">
        <f ca="1">RESULTADOS!BR37</f>
        <v>Falla</v>
      </c>
      <c r="CO20" s="146" t="str">
        <f ca="1">RESULTADOS!BS37</f>
        <v>N/A</v>
      </c>
      <c r="CP20" s="146" t="str">
        <f ca="1">RESULTADOS!BT37</f>
        <v>Pasa</v>
      </c>
      <c r="CQ20" s="146" t="str">
        <f ca="1">RESULTADOS!BU37</f>
        <v>N/A</v>
      </c>
      <c r="CR20" s="146" t="str">
        <f ca="1">RESULTADOS!BV37</f>
        <v>Pasa</v>
      </c>
      <c r="CS20" s="146" t="str">
        <f ca="1">RESULTADOS!BW37</f>
        <v>Pasa</v>
      </c>
      <c r="CT20" s="146" t="str">
        <f ca="1">RESULTADOS!BX37</f>
        <v>Pasa</v>
      </c>
      <c r="CU20" s="146" t="str">
        <f ca="1">RESULTADOS!BY37</f>
        <v>Pasa</v>
      </c>
      <c r="CV20" s="146" t="str">
        <f ca="1">RESULTADOS!BZ37</f>
        <v>N/A</v>
      </c>
      <c r="CW20" s="146" t="str">
        <f ca="1">RESULTADOS!CA37</f>
        <v>Pasa</v>
      </c>
      <c r="CX20" s="146" t="str">
        <f ca="1">RESULTADOS!CB37</f>
        <v>N/A</v>
      </c>
      <c r="CY20" s="146" t="str">
        <f ca="1">RESULTADOS!CC37</f>
        <v>N/A</v>
      </c>
      <c r="CZ20" s="146" t="str">
        <f ca="1">RESULTADOS!CD37</f>
        <v>N/A</v>
      </c>
      <c r="DA20" s="146" t="str">
        <f ca="1">RESULTADOS!CE37</f>
        <v>Falla</v>
      </c>
      <c r="DB20" s="146" t="str">
        <f ca="1">RESULTADOS!CF37</f>
        <v>N/A</v>
      </c>
      <c r="DC20" s="146" t="str">
        <f ca="1">RESULTADOS!CG37</f>
        <v>Falla</v>
      </c>
      <c r="DD20" s="146" t="str">
        <f ca="1">RESULTADOS!CH37</f>
        <v>Pasa</v>
      </c>
      <c r="DE20" s="146" t="str">
        <f ca="1">RESULTADOS!CI37</f>
        <v>N/A</v>
      </c>
      <c r="DF20" s="146" t="str">
        <f ca="1">RESULTADOS!CJ37</f>
        <v>N/A</v>
      </c>
      <c r="DG20" s="146" t="str">
        <f ca="1">RESULTADOS!CK37</f>
        <v>N/A</v>
      </c>
      <c r="DH20" s="146" t="str">
        <f ca="1">RESULTADOS!CL37</f>
        <v>N/A</v>
      </c>
      <c r="DI20" s="146" t="str">
        <f ca="1">RESULTADOS!CM37</f>
        <v>N/A</v>
      </c>
      <c r="DJ20" s="146" t="str">
        <f ca="1">RESULTADOS!CN37</f>
        <v>N/A</v>
      </c>
      <c r="DK20" s="146" t="str">
        <f ca="1">RESULTADOS!CO37</f>
        <v>N/A</v>
      </c>
      <c r="DL20" s="146" t="str">
        <f ca="1">RESULTADOS!CP37</f>
        <v>N/A</v>
      </c>
      <c r="DM20" s="146" t="str">
        <f ca="1">RESULTADOS!CQ37</f>
        <v>N/A</v>
      </c>
      <c r="DN20" s="146" t="str">
        <f ca="1">RESULTADOS!CR37</f>
        <v>N/A</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ht="13">
      <c r="C21" s="144" t="s">
        <v>7</v>
      </c>
      <c r="D21" s="147" t="str">
        <f>'01.Definición de ámbito'!D51</f>
        <v>No</v>
      </c>
      <c r="K21" s="40" t="s">
        <v>47</v>
      </c>
      <c r="L21" s="148">
        <f ca="1">RESULTADOS!L11</f>
        <v>1932</v>
      </c>
      <c r="M21" s="216">
        <f ca="1">RESULTADOS!M11</f>
        <v>1</v>
      </c>
      <c r="T21" s="148">
        <f>RESULTADOS!B38</f>
        <v>19</v>
      </c>
      <c r="U21" s="148" t="str">
        <f>RESULTADOS!C38</f>
        <v>Normativa</v>
      </c>
      <c r="V21" s="148" t="str">
        <f t="shared" si="0"/>
        <v>Página web</v>
      </c>
      <c r="W21" s="148" t="str">
        <v>Legal</v>
      </c>
      <c r="X21" s="148" t="str">
        <f>RESULTADOS!D38</f>
        <v>https://www.crtm.es/normativa</v>
      </c>
      <c r="Y21" s="148" t="str">
        <v>Home &gt; Normativa</v>
      </c>
      <c r="Z21" s="237" t="str">
        <v>Texto, enlaces, buscador, iconos o imágenes</v>
      </c>
      <c r="AA21" s="146" t="str">
        <f ca="1">RESULTADOS!E38</f>
        <v>Pasa</v>
      </c>
      <c r="AB21" s="146" t="str">
        <f ca="1">RESULTADOS!F38</f>
        <v>N/A</v>
      </c>
      <c r="AC21" s="146" t="str">
        <f ca="1">RESULTADOS!G38</f>
        <v>N/A</v>
      </c>
      <c r="AD21" s="146" t="str">
        <f ca="1">RESULTADOS!H38</f>
        <v>N/A</v>
      </c>
      <c r="AE21" s="146" t="str">
        <f ca="1">RESULTADOS!I38</f>
        <v>N/A</v>
      </c>
      <c r="AF21" s="146" t="str">
        <f ca="1">RESULTADOS!J38</f>
        <v>N/A</v>
      </c>
      <c r="AG21" s="146" t="str">
        <f ca="1">RESULTADOS!K38</f>
        <v>N/A</v>
      </c>
      <c r="AH21" s="146" t="str">
        <f ca="1">RESULTADOS!L38</f>
        <v>N/A</v>
      </c>
      <c r="AI21" s="146" t="str">
        <f ca="1">RESULTADOS!M38</f>
        <v>N/A</v>
      </c>
      <c r="AJ21" s="146" t="str">
        <f ca="1">RESULTADOS!N38</f>
        <v>N/A</v>
      </c>
      <c r="AK21" s="146" t="str">
        <f ca="1">RESULTADOS!O38</f>
        <v>N/A</v>
      </c>
      <c r="AL21" s="146" t="str">
        <f ca="1">RESULTADOS!P38</f>
        <v>N/A</v>
      </c>
      <c r="AM21" s="146" t="str">
        <f ca="1">RESULTADOS!Q38</f>
        <v>N/A</v>
      </c>
      <c r="AN21" s="146" t="str">
        <f ca="1">RESULTADOS!R38</f>
        <v>N/A</v>
      </c>
      <c r="AO21" s="146" t="str">
        <f ca="1">RESULTADOS!S38</f>
        <v>N/A</v>
      </c>
      <c r="AP21" s="146" t="str">
        <f ca="1">RESULTADOS!T38</f>
        <v>N/A</v>
      </c>
      <c r="AQ21" s="146" t="str">
        <f ca="1">RESULTADOS!U38</f>
        <v>N/A</v>
      </c>
      <c r="AR21" s="146" t="str">
        <f ca="1">RESULTADOS!V38</f>
        <v>N/A</v>
      </c>
      <c r="AS21" s="146" t="str">
        <f ca="1">RESULTADOS!W38</f>
        <v>N/A</v>
      </c>
      <c r="AT21" s="146" t="str">
        <f ca="1">RESULTADOS!X38</f>
        <v>N/A</v>
      </c>
      <c r="AU21" s="146" t="str">
        <f ca="1">RESULTADOS!Y38</f>
        <v>N/A</v>
      </c>
      <c r="AV21" s="146" t="str">
        <f ca="1">RESULTADOS!Z38</f>
        <v>N/A</v>
      </c>
      <c r="AW21" s="146" t="str">
        <f ca="1">RESULTADOS!AA38</f>
        <v>N/A</v>
      </c>
      <c r="AX21" s="146" t="str">
        <f ca="1">RESULTADOS!AB38</f>
        <v>N/A</v>
      </c>
      <c r="AY21" s="146" t="str">
        <f ca="1">RESULTADOS!AC38</f>
        <v>N/A</v>
      </c>
      <c r="AZ21" s="146" t="str">
        <f ca="1">RESULTADOS!AD38</f>
        <v>N/A</v>
      </c>
      <c r="BA21" s="146" t="str">
        <f ca="1">RESULTADOS!AE38</f>
        <v>N/A</v>
      </c>
      <c r="BB21" s="146" t="str">
        <f ca="1">RESULTADOS!AF38</f>
        <v>N/A</v>
      </c>
      <c r="BC21" s="146" t="str">
        <f ca="1">RESULTADOS!AG38</f>
        <v>N/A</v>
      </c>
      <c r="BD21" s="146" t="str">
        <f ca="1">RESULTADOS!AH38</f>
        <v>N/A</v>
      </c>
      <c r="BE21" s="146" t="str">
        <f ca="1">RESULTADOS!AI38</f>
        <v>N/A</v>
      </c>
      <c r="BF21" s="146" t="str">
        <f ca="1">RESULTADOS!AJ38</f>
        <v>Falla</v>
      </c>
      <c r="BG21" s="146" t="str">
        <f ca="1">RESULTADOS!AK38</f>
        <v>N/A</v>
      </c>
      <c r="BH21" s="146" t="str">
        <f ca="1">RESULTADOS!AL38</f>
        <v>N/A</v>
      </c>
      <c r="BI21" s="146" t="str">
        <f ca="1">RESULTADOS!AM38</f>
        <v>N/A</v>
      </c>
      <c r="BJ21" s="146" t="str">
        <f ca="1">RESULTADOS!AN38</f>
        <v>N/A</v>
      </c>
      <c r="BK21" s="146" t="str">
        <f ca="1">RESULTADOS!AO38</f>
        <v>Falla</v>
      </c>
      <c r="BL21" s="146" t="str">
        <f ca="1">RESULTADOS!AP38</f>
        <v>Falla</v>
      </c>
      <c r="BM21" s="146" t="str">
        <f ca="1">RESULTADOS!AQ38</f>
        <v>Falla</v>
      </c>
      <c r="BN21" s="146" t="str">
        <f ca="1">RESULTADOS!AR38</f>
        <v>Pasa</v>
      </c>
      <c r="BO21" s="146" t="str">
        <f ca="1">RESULTADOS!AS38</f>
        <v>N/A</v>
      </c>
      <c r="BP21" s="146" t="str">
        <f ca="1">RESULTADOS!AT38</f>
        <v>Pasa</v>
      </c>
      <c r="BQ21" s="146" t="str">
        <f ca="1">RESULTADOS!AU38</f>
        <v>N/A</v>
      </c>
      <c r="BR21" s="146" t="str">
        <f ca="1">RESULTADOS!AV38</f>
        <v>Pasa</v>
      </c>
      <c r="BS21" s="146" t="str">
        <f ca="1">RESULTADOS!AW38</f>
        <v>Falla</v>
      </c>
      <c r="BT21" s="146" t="str">
        <f ca="1">RESULTADOS!AX38</f>
        <v>N/A</v>
      </c>
      <c r="BU21" s="146" t="str">
        <f ca="1">RESULTADOS!AY38</f>
        <v>Falla</v>
      </c>
      <c r="BV21" s="146" t="str">
        <f ca="1">RESULTADOS!AZ38</f>
        <v>Falla</v>
      </c>
      <c r="BW21" s="146" t="str">
        <f ca="1">RESULTADOS!BA38</f>
        <v>Falla</v>
      </c>
      <c r="BX21" s="146" t="str">
        <f ca="1">RESULTADOS!BB38</f>
        <v>N/A</v>
      </c>
      <c r="BY21" s="146" t="str">
        <f ca="1">RESULTADOS!BC38</f>
        <v>Pasa</v>
      </c>
      <c r="BZ21" s="146" t="str">
        <f ca="1">RESULTADOS!BD38</f>
        <v>Pasa</v>
      </c>
      <c r="CA21" s="146" t="str">
        <f ca="1">RESULTADOS!BE38</f>
        <v>Falla</v>
      </c>
      <c r="CB21" s="146" t="str">
        <f ca="1">RESULTADOS!BF38</f>
        <v>N/A</v>
      </c>
      <c r="CC21" s="146" t="str">
        <f ca="1">RESULTADOS!BG38</f>
        <v>N/A</v>
      </c>
      <c r="CD21" s="146" t="str">
        <f ca="1">RESULTADOS!BH38</f>
        <v>N/A</v>
      </c>
      <c r="CE21" s="146" t="str">
        <f ca="1">RESULTADOS!BI38</f>
        <v>Pasa</v>
      </c>
      <c r="CF21" s="146" t="str">
        <f ca="1">RESULTADOS!BJ38</f>
        <v>Pasa</v>
      </c>
      <c r="CG21" s="146" t="str">
        <f ca="1">RESULTADOS!BK38</f>
        <v>Falla</v>
      </c>
      <c r="CH21" s="146" t="str">
        <f ca="1">RESULTADOS!BL38</f>
        <v>Falla</v>
      </c>
      <c r="CI21" s="146" t="str">
        <f ca="1">RESULTADOS!BM38</f>
        <v>Pasa</v>
      </c>
      <c r="CJ21" s="146" t="str">
        <f ca="1">RESULTADOS!BN38</f>
        <v>Pasa</v>
      </c>
      <c r="CK21" s="146" t="str">
        <f ca="1">RESULTADOS!BO38</f>
        <v>Pasa</v>
      </c>
      <c r="CL21" s="146" t="str">
        <f ca="1">RESULTADOS!BP38</f>
        <v>N/A</v>
      </c>
      <c r="CM21" s="146" t="str">
        <f ca="1">RESULTADOS!BQ38</f>
        <v>Pasa</v>
      </c>
      <c r="CN21" s="146" t="str">
        <f ca="1">RESULTADOS!BR38</f>
        <v>Falla</v>
      </c>
      <c r="CO21" s="146" t="str">
        <f ca="1">RESULTADOS!BS38</f>
        <v>N/A</v>
      </c>
      <c r="CP21" s="146" t="str">
        <f ca="1">RESULTADOS!BT38</f>
        <v>Pasa</v>
      </c>
      <c r="CQ21" s="146" t="str">
        <f ca="1">RESULTADOS!BU38</f>
        <v>N/A</v>
      </c>
      <c r="CR21" s="146" t="str">
        <f ca="1">RESULTADOS!BV38</f>
        <v>Pasa</v>
      </c>
      <c r="CS21" s="146" t="str">
        <f ca="1">RESULTADOS!BW38</f>
        <v>Pasa</v>
      </c>
      <c r="CT21" s="146" t="str">
        <f ca="1">RESULTADOS!BX38</f>
        <v>Pasa</v>
      </c>
      <c r="CU21" s="146" t="str">
        <f ca="1">RESULTADOS!BY38</f>
        <v>Pasa</v>
      </c>
      <c r="CV21" s="146" t="str">
        <f ca="1">RESULTADOS!BZ38</f>
        <v>N/A</v>
      </c>
      <c r="CW21" s="146" t="str">
        <f ca="1">RESULTADOS!CA38</f>
        <v>Pasa</v>
      </c>
      <c r="CX21" s="146" t="str">
        <f ca="1">RESULTADOS!CB38</f>
        <v>N/A</v>
      </c>
      <c r="CY21" s="146" t="str">
        <f ca="1">RESULTADOS!CC38</f>
        <v>N/A</v>
      </c>
      <c r="CZ21" s="146" t="str">
        <f ca="1">RESULTADOS!CD38</f>
        <v>N/A</v>
      </c>
      <c r="DA21" s="146" t="str">
        <f ca="1">RESULTADOS!CE38</f>
        <v>Falla</v>
      </c>
      <c r="DB21" s="146" t="str">
        <f ca="1">RESULTADOS!CF38</f>
        <v>N/A</v>
      </c>
      <c r="DC21" s="146" t="str">
        <f ca="1">RESULTADOS!CG38</f>
        <v>Falla</v>
      </c>
      <c r="DD21" s="146" t="str">
        <f ca="1">RESULTADOS!CH38</f>
        <v>Pasa</v>
      </c>
      <c r="DE21" s="146" t="str">
        <f ca="1">RESULTADOS!CI38</f>
        <v>N/A</v>
      </c>
      <c r="DF21" s="146" t="str">
        <f ca="1">RESULTADOS!CJ38</f>
        <v>N/A</v>
      </c>
      <c r="DG21" s="146" t="str">
        <f ca="1">RESULTADOS!CK38</f>
        <v>N/A</v>
      </c>
      <c r="DH21" s="146" t="str">
        <f ca="1">RESULTADOS!CL38</f>
        <v>N/A</v>
      </c>
      <c r="DI21" s="146" t="str">
        <f ca="1">RESULTADOS!CM38</f>
        <v>N/A</v>
      </c>
      <c r="DJ21" s="146" t="str">
        <f ca="1">RESULTADOS!CN38</f>
        <v>N/A</v>
      </c>
      <c r="DK21" s="146" t="str">
        <f ca="1">RESULTADOS!CO38</f>
        <v>N/A</v>
      </c>
      <c r="DL21" s="146" t="str">
        <f ca="1">RESULTADOS!CP38</f>
        <v>N/A</v>
      </c>
      <c r="DM21" s="146" t="str">
        <f ca="1">RESULTADOS!CQ38</f>
        <v>N/A</v>
      </c>
      <c r="DN21" s="146" t="str">
        <f ca="1">RESULTADOS!CR38</f>
        <v>N/A</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ht="13">
      <c r="C22" s="144" t="s">
        <v>8</v>
      </c>
      <c r="D22" s="147" t="str">
        <f>'01.Definición de ámbito'!D52</f>
        <v>No</v>
      </c>
      <c r="T22" s="148">
        <f>RESULTADOS!B39</f>
        <v>20</v>
      </c>
      <c r="U22" s="148" t="str">
        <f>RESULTADOS!C39</f>
        <v>Accesibilidad</v>
      </c>
      <c r="V22" s="148" t="str">
        <f t="shared" si="0"/>
        <v>Página web</v>
      </c>
      <c r="W22" s="148" t="str">
        <v>Declaración accesibilidad</v>
      </c>
      <c r="X22" s="148" t="str">
        <f>RESULTADOS!D39</f>
        <v>https://www.crtm.es/accesibilidad</v>
      </c>
      <c r="Y22" s="148" t="str">
        <v>Home &gt; Accesibilidad</v>
      </c>
      <c r="Z22" s="237" t="str">
        <v>Texto, enlaces, buscador, iconos o imágenes</v>
      </c>
      <c r="AA22" s="146" t="str">
        <f ca="1">RESULTADOS!E39</f>
        <v>Pasa</v>
      </c>
      <c r="AB22" s="146" t="str">
        <f ca="1">RESULTADOS!F39</f>
        <v>N/A</v>
      </c>
      <c r="AC22" s="146" t="str">
        <f ca="1">RESULTADOS!G39</f>
        <v>N/A</v>
      </c>
      <c r="AD22" s="146" t="str">
        <f ca="1">RESULTADOS!H39</f>
        <v>N/A</v>
      </c>
      <c r="AE22" s="146" t="str">
        <f ca="1">RESULTADOS!I39</f>
        <v>N/A</v>
      </c>
      <c r="AF22" s="146" t="str">
        <f ca="1">RESULTADOS!J39</f>
        <v>N/A</v>
      </c>
      <c r="AG22" s="146" t="str">
        <f ca="1">RESULTADOS!K39</f>
        <v>N/A</v>
      </c>
      <c r="AH22" s="146" t="str">
        <f ca="1">RESULTADOS!L39</f>
        <v>N/A</v>
      </c>
      <c r="AI22" s="146" t="str">
        <f ca="1">RESULTADOS!M39</f>
        <v>N/A</v>
      </c>
      <c r="AJ22" s="146" t="str">
        <f ca="1">RESULTADOS!N39</f>
        <v>N/A</v>
      </c>
      <c r="AK22" s="146" t="str">
        <f ca="1">RESULTADOS!O39</f>
        <v>N/A</v>
      </c>
      <c r="AL22" s="146" t="str">
        <f ca="1">RESULTADOS!P39</f>
        <v>N/A</v>
      </c>
      <c r="AM22" s="146" t="str">
        <f ca="1">RESULTADOS!Q39</f>
        <v>N/A</v>
      </c>
      <c r="AN22" s="146" t="str">
        <f ca="1">RESULTADOS!R39</f>
        <v>N/A</v>
      </c>
      <c r="AO22" s="146" t="str">
        <f ca="1">RESULTADOS!S39</f>
        <v>N/A</v>
      </c>
      <c r="AP22" s="146" t="str">
        <f ca="1">RESULTADOS!T39</f>
        <v>N/A</v>
      </c>
      <c r="AQ22" s="146" t="str">
        <f ca="1">RESULTADOS!U39</f>
        <v>N/A</v>
      </c>
      <c r="AR22" s="146" t="str">
        <f ca="1">RESULTADOS!V39</f>
        <v>N/A</v>
      </c>
      <c r="AS22" s="146" t="str">
        <f ca="1">RESULTADOS!W39</f>
        <v>N/A</v>
      </c>
      <c r="AT22" s="146" t="str">
        <f ca="1">RESULTADOS!X39</f>
        <v>N/A</v>
      </c>
      <c r="AU22" s="146" t="str">
        <f ca="1">RESULTADOS!Y39</f>
        <v>N/A</v>
      </c>
      <c r="AV22" s="146" t="str">
        <f ca="1">RESULTADOS!Z39</f>
        <v>N/A</v>
      </c>
      <c r="AW22" s="146" t="str">
        <f ca="1">RESULTADOS!AA39</f>
        <v>N/A</v>
      </c>
      <c r="AX22" s="146" t="str">
        <f ca="1">RESULTADOS!AB39</f>
        <v>N/A</v>
      </c>
      <c r="AY22" s="146" t="str">
        <f ca="1">RESULTADOS!AC39</f>
        <v>N/A</v>
      </c>
      <c r="AZ22" s="146" t="str">
        <f ca="1">RESULTADOS!AD39</f>
        <v>N/A</v>
      </c>
      <c r="BA22" s="146" t="str">
        <f ca="1">RESULTADOS!AE39</f>
        <v>N/A</v>
      </c>
      <c r="BB22" s="146" t="str">
        <f ca="1">RESULTADOS!AF39</f>
        <v>N/A</v>
      </c>
      <c r="BC22" s="146" t="str">
        <f ca="1">RESULTADOS!AG39</f>
        <v>N/A</v>
      </c>
      <c r="BD22" s="146" t="str">
        <f ca="1">RESULTADOS!AH39</f>
        <v>N/A</v>
      </c>
      <c r="BE22" s="146" t="str">
        <f ca="1">RESULTADOS!AI39</f>
        <v>N/A</v>
      </c>
      <c r="BF22" s="146" t="str">
        <f ca="1">RESULTADOS!AJ39</f>
        <v>Falla</v>
      </c>
      <c r="BG22" s="146" t="str">
        <f ca="1">RESULTADOS!AK39</f>
        <v>N/A</v>
      </c>
      <c r="BH22" s="146" t="str">
        <f ca="1">RESULTADOS!AL39</f>
        <v>N/A</v>
      </c>
      <c r="BI22" s="146" t="str">
        <f ca="1">RESULTADOS!AM39</f>
        <v>N/A</v>
      </c>
      <c r="BJ22" s="146" t="str">
        <f ca="1">RESULTADOS!AN39</f>
        <v>N/A</v>
      </c>
      <c r="BK22" s="146" t="str">
        <f ca="1">RESULTADOS!AO39</f>
        <v>Falla</v>
      </c>
      <c r="BL22" s="146" t="str">
        <f ca="1">RESULTADOS!AP39</f>
        <v>Falla</v>
      </c>
      <c r="BM22" s="146" t="str">
        <f ca="1">RESULTADOS!AQ39</f>
        <v>Falla</v>
      </c>
      <c r="BN22" s="146" t="str">
        <f ca="1">RESULTADOS!AR39</f>
        <v>Pasa</v>
      </c>
      <c r="BO22" s="146" t="str">
        <f ca="1">RESULTADOS!AS39</f>
        <v>N/A</v>
      </c>
      <c r="BP22" s="146" t="str">
        <f ca="1">RESULTADOS!AT39</f>
        <v>Falla</v>
      </c>
      <c r="BQ22" s="146" t="str">
        <f ca="1">RESULTADOS!AU39</f>
        <v>N/A</v>
      </c>
      <c r="BR22" s="146" t="str">
        <f ca="1">RESULTADOS!AV39</f>
        <v>Pasa</v>
      </c>
      <c r="BS22" s="146" t="str">
        <f ca="1">RESULTADOS!AW39</f>
        <v>Falla</v>
      </c>
      <c r="BT22" s="146" t="str">
        <f ca="1">RESULTADOS!AX39</f>
        <v>N/A</v>
      </c>
      <c r="BU22" s="146" t="str">
        <f ca="1">RESULTADOS!AY39</f>
        <v>Falla</v>
      </c>
      <c r="BV22" s="146" t="str">
        <f ca="1">RESULTADOS!AZ39</f>
        <v>Falla</v>
      </c>
      <c r="BW22" s="146" t="str">
        <f ca="1">RESULTADOS!BA39</f>
        <v>Falla</v>
      </c>
      <c r="BX22" s="146" t="str">
        <f ca="1">RESULTADOS!BB39</f>
        <v>N/A</v>
      </c>
      <c r="BY22" s="146" t="str">
        <f ca="1">RESULTADOS!BC39</f>
        <v>Pasa</v>
      </c>
      <c r="BZ22" s="146" t="str">
        <f ca="1">RESULTADOS!BD39</f>
        <v>Pasa</v>
      </c>
      <c r="CA22" s="146" t="str">
        <f ca="1">RESULTADOS!BE39</f>
        <v>Falla</v>
      </c>
      <c r="CB22" s="146" t="str">
        <f ca="1">RESULTADOS!BF39</f>
        <v>N/A</v>
      </c>
      <c r="CC22" s="146" t="str">
        <f ca="1">RESULTADOS!BG39</f>
        <v>N/A</v>
      </c>
      <c r="CD22" s="146" t="str">
        <f ca="1">RESULTADOS!BH39</f>
        <v>N/A</v>
      </c>
      <c r="CE22" s="146" t="str">
        <f ca="1">RESULTADOS!BI39</f>
        <v>Pasa</v>
      </c>
      <c r="CF22" s="146" t="str">
        <f ca="1">RESULTADOS!BJ39</f>
        <v>Pasa</v>
      </c>
      <c r="CG22" s="146" t="str">
        <f ca="1">RESULTADOS!BK39</f>
        <v>Falla</v>
      </c>
      <c r="CH22" s="146" t="str">
        <f ca="1">RESULTADOS!BL39</f>
        <v>Falla</v>
      </c>
      <c r="CI22" s="146" t="str">
        <f ca="1">RESULTADOS!BM39</f>
        <v>Pasa</v>
      </c>
      <c r="CJ22" s="146" t="str">
        <f ca="1">RESULTADOS!BN39</f>
        <v>Pasa</v>
      </c>
      <c r="CK22" s="146" t="str">
        <f ca="1">RESULTADOS!BO39</f>
        <v>Pasa</v>
      </c>
      <c r="CL22" s="146" t="str">
        <f ca="1">RESULTADOS!BP39</f>
        <v>N/A</v>
      </c>
      <c r="CM22" s="146" t="str">
        <f ca="1">RESULTADOS!BQ39</f>
        <v>Pasa</v>
      </c>
      <c r="CN22" s="146" t="str">
        <f ca="1">RESULTADOS!BR39</f>
        <v>Falla</v>
      </c>
      <c r="CO22" s="146" t="str">
        <f ca="1">RESULTADOS!BS39</f>
        <v>N/A</v>
      </c>
      <c r="CP22" s="146" t="str">
        <f ca="1">RESULTADOS!BT39</f>
        <v>Pasa</v>
      </c>
      <c r="CQ22" s="146" t="str">
        <f ca="1">RESULTADOS!BU39</f>
        <v>N/A</v>
      </c>
      <c r="CR22" s="146" t="str">
        <f ca="1">RESULTADOS!BV39</f>
        <v>Pasa</v>
      </c>
      <c r="CS22" s="146" t="str">
        <f ca="1">RESULTADOS!BW39</f>
        <v>Pasa</v>
      </c>
      <c r="CT22" s="146" t="str">
        <f ca="1">RESULTADOS!BX39</f>
        <v>Pasa</v>
      </c>
      <c r="CU22" s="146" t="str">
        <f ca="1">RESULTADOS!BY39</f>
        <v>Pasa</v>
      </c>
      <c r="CV22" s="146" t="str">
        <f ca="1">RESULTADOS!BZ39</f>
        <v>N/A</v>
      </c>
      <c r="CW22" s="146" t="str">
        <f ca="1">RESULTADOS!CA39</f>
        <v>Pasa</v>
      </c>
      <c r="CX22" s="146" t="str">
        <f ca="1">RESULTADOS!CB39</f>
        <v>N/A</v>
      </c>
      <c r="CY22" s="146" t="str">
        <f ca="1">RESULTADOS!CC39</f>
        <v>N/A</v>
      </c>
      <c r="CZ22" s="146" t="str">
        <f ca="1">RESULTADOS!CD39</f>
        <v>N/A</v>
      </c>
      <c r="DA22" s="146" t="str">
        <f ca="1">RESULTADOS!CE39</f>
        <v>Falla</v>
      </c>
      <c r="DB22" s="146" t="str">
        <f ca="1">RESULTADOS!CF39</f>
        <v>N/A</v>
      </c>
      <c r="DC22" s="146" t="str">
        <f ca="1">RESULTADOS!CG39</f>
        <v>Falla</v>
      </c>
      <c r="DD22" s="146" t="str">
        <f ca="1">RESULTADOS!CH39</f>
        <v>Pasa</v>
      </c>
      <c r="DE22" s="146" t="str">
        <f ca="1">RESULTADOS!CI39</f>
        <v>N/A</v>
      </c>
      <c r="DF22" s="146" t="str">
        <f ca="1">RESULTADOS!CJ39</f>
        <v>N/A</v>
      </c>
      <c r="DG22" s="146" t="str">
        <f ca="1">RESULTADOS!CK39</f>
        <v>N/A</v>
      </c>
      <c r="DH22" s="146" t="str">
        <f ca="1">RESULTADOS!CL39</f>
        <v>N/A</v>
      </c>
      <c r="DI22" s="146" t="str">
        <f ca="1">RESULTADOS!CM39</f>
        <v>N/A</v>
      </c>
      <c r="DJ22" s="146" t="str">
        <f ca="1">RESULTADOS!CN39</f>
        <v>Pasa</v>
      </c>
      <c r="DK22" s="146" t="str">
        <f ca="1">RESULTADOS!CO39</f>
        <v>Falla</v>
      </c>
      <c r="DL22" s="146" t="str">
        <f ca="1">RESULTADOS!CP39</f>
        <v>Pasa</v>
      </c>
      <c r="DM22" s="146" t="str">
        <f ca="1">RESULTADOS!CQ39</f>
        <v>Pasa</v>
      </c>
      <c r="DN22" s="146" t="str">
        <f ca="1">RESULTADOS!CR39</f>
        <v>Falla</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ht="13">
      <c r="C23" s="144" t="s">
        <v>9</v>
      </c>
      <c r="D23" s="147" t="str">
        <f>'01.Definición de ámbito'!D53</f>
        <v>No</v>
      </c>
      <c r="K23" s="40" t="s">
        <v>140</v>
      </c>
      <c r="T23" s="148">
        <f>RESULTADOS!B40</f>
        <v>21</v>
      </c>
      <c r="U23" s="148" t="str">
        <f>RESULTADOS!C40</f>
        <v>Modo accesible</v>
      </c>
      <c r="V23" s="148" t="str">
        <f t="shared" si="0"/>
        <v>Página web</v>
      </c>
      <c r="W23" s="148" t="str">
        <v>Ayuda</v>
      </c>
      <c r="X23" s="148" t="str">
        <f>RESULTADOS!D40</f>
        <v>https://www.crtm.es/</v>
      </c>
      <c r="Y23" s="148" t="str">
        <v>Home &gt; Modo accesible</v>
      </c>
      <c r="Z23" s="237">
        <v>0</v>
      </c>
      <c r="AA23" s="146" t="str">
        <f ca="1">RESULTADOS!E40</f>
        <v>N/A</v>
      </c>
      <c r="AB23" s="146" t="str">
        <f ca="1">RESULTADOS!F40</f>
        <v>N/A</v>
      </c>
      <c r="AC23" s="146" t="str">
        <f ca="1">RESULTADOS!G40</f>
        <v>N/A</v>
      </c>
      <c r="AD23" s="146" t="str">
        <f ca="1">RESULTADOS!H40</f>
        <v>N/A</v>
      </c>
      <c r="AE23" s="146" t="str">
        <f ca="1">RESULTADOS!I40</f>
        <v>N/A</v>
      </c>
      <c r="AF23" s="146" t="str">
        <f ca="1">RESULTADOS!J40</f>
        <v>N/A</v>
      </c>
      <c r="AG23" s="146" t="str">
        <f ca="1">RESULTADOS!K40</f>
        <v>N/A</v>
      </c>
      <c r="AH23" s="146" t="str">
        <f ca="1">RESULTADOS!L40</f>
        <v>N/A</v>
      </c>
      <c r="AI23" s="146" t="str">
        <f ca="1">RESULTADOS!M40</f>
        <v>N/A</v>
      </c>
      <c r="AJ23" s="146" t="str">
        <f ca="1">RESULTADOS!N40</f>
        <v>N/A</v>
      </c>
      <c r="AK23" s="146" t="str">
        <f ca="1">RESULTADOS!O40</f>
        <v>N/A</v>
      </c>
      <c r="AL23" s="146" t="str">
        <f ca="1">RESULTADOS!P40</f>
        <v>N/A</v>
      </c>
      <c r="AM23" s="146" t="str">
        <f ca="1">RESULTADOS!Q40</f>
        <v>N/A</v>
      </c>
      <c r="AN23" s="146" t="str">
        <f ca="1">RESULTADOS!R40</f>
        <v>N/A</v>
      </c>
      <c r="AO23" s="146" t="str">
        <f ca="1">RESULTADOS!S40</f>
        <v>N/A</v>
      </c>
      <c r="AP23" s="146" t="str">
        <f ca="1">RESULTADOS!T40</f>
        <v>N/A</v>
      </c>
      <c r="AQ23" s="146" t="str">
        <f ca="1">RESULTADOS!U40</f>
        <v>N/A</v>
      </c>
      <c r="AR23" s="146" t="str">
        <f ca="1">RESULTADOS!V40</f>
        <v>N/A</v>
      </c>
      <c r="AS23" s="146" t="str">
        <f ca="1">RESULTADOS!W40</f>
        <v>N/A</v>
      </c>
      <c r="AT23" s="146" t="str">
        <f ca="1">RESULTADOS!X40</f>
        <v>N/A</v>
      </c>
      <c r="AU23" s="146" t="str">
        <f ca="1">RESULTADOS!Y40</f>
        <v>N/A</v>
      </c>
      <c r="AV23" s="146" t="str">
        <f ca="1">RESULTADOS!Z40</f>
        <v>N/A</v>
      </c>
      <c r="AW23" s="146" t="str">
        <f ca="1">RESULTADOS!AA40</f>
        <v>N/A</v>
      </c>
      <c r="AX23" s="146" t="str">
        <f ca="1">RESULTADOS!AB40</f>
        <v>N/A</v>
      </c>
      <c r="AY23" s="146" t="str">
        <f ca="1">RESULTADOS!AC40</f>
        <v>N/A</v>
      </c>
      <c r="AZ23" s="146" t="str">
        <f ca="1">RESULTADOS!AD40</f>
        <v>N/A</v>
      </c>
      <c r="BA23" s="146" t="str">
        <f ca="1">RESULTADOS!AE40</f>
        <v>N/A</v>
      </c>
      <c r="BB23" s="146" t="str">
        <f ca="1">RESULTADOS!AF40</f>
        <v>N/A</v>
      </c>
      <c r="BC23" s="146" t="str">
        <f ca="1">RESULTADOS!AG40</f>
        <v>N/A</v>
      </c>
      <c r="BD23" s="146" t="str">
        <f ca="1">RESULTADOS!AH40</f>
        <v>N/A</v>
      </c>
      <c r="BE23" s="146" t="str">
        <f ca="1">RESULTADOS!AI40</f>
        <v>N/A</v>
      </c>
      <c r="BF23" s="146" t="str">
        <f ca="1">RESULTADOS!AJ40</f>
        <v>Pasa</v>
      </c>
      <c r="BG23" s="146" t="str">
        <f ca="1">RESULTADOS!AK40</f>
        <v>N/A</v>
      </c>
      <c r="BH23" s="146" t="str">
        <f ca="1">RESULTADOS!AL40</f>
        <v>N/A</v>
      </c>
      <c r="BI23" s="146" t="str">
        <f ca="1">RESULTADOS!AM40</f>
        <v>N/A</v>
      </c>
      <c r="BJ23" s="146" t="str">
        <f ca="1">RESULTADOS!AN40</f>
        <v>N/A</v>
      </c>
      <c r="BK23" s="146" t="str">
        <f ca="1">RESULTADOS!AO40</f>
        <v>Pasa</v>
      </c>
      <c r="BL23" s="146" t="str">
        <f ca="1">RESULTADOS!AP40</f>
        <v>Pasa</v>
      </c>
      <c r="BM23" s="146" t="str">
        <f ca="1">RESULTADOS!AQ40</f>
        <v>Pasa</v>
      </c>
      <c r="BN23" s="146" t="str">
        <f ca="1">RESULTADOS!AR40</f>
        <v>Pasa</v>
      </c>
      <c r="BO23" s="146" t="str">
        <f ca="1">RESULTADOS!AS40</f>
        <v>N/A</v>
      </c>
      <c r="BP23" s="146" t="str">
        <f ca="1">RESULTADOS!AT40</f>
        <v>N/A</v>
      </c>
      <c r="BQ23" s="146" t="str">
        <f ca="1">RESULTADOS!AU40</f>
        <v>N/A</v>
      </c>
      <c r="BR23" s="146" t="str">
        <f ca="1">RESULTADOS!AV40</f>
        <v>Pasa</v>
      </c>
      <c r="BS23" s="146" t="str">
        <f ca="1">RESULTADOS!AW40</f>
        <v>Pasa</v>
      </c>
      <c r="BT23" s="146" t="str">
        <f ca="1">RESULTADOS!AX40</f>
        <v>Falla</v>
      </c>
      <c r="BU23" s="146" t="str">
        <f ca="1">RESULTADOS!AY40</f>
        <v>Pasa</v>
      </c>
      <c r="BV23" s="146" t="str">
        <f ca="1">RESULTADOS!AZ40</f>
        <v>Pasa</v>
      </c>
      <c r="BW23" s="146" t="str">
        <f ca="1">RESULTADOS!BA40</f>
        <v>N/A</v>
      </c>
      <c r="BX23" s="146" t="str">
        <f ca="1">RESULTADOS!BB40</f>
        <v>N/A</v>
      </c>
      <c r="BY23" s="146" t="str">
        <f ca="1">RESULTADOS!BC40</f>
        <v>Pasa</v>
      </c>
      <c r="BZ23" s="146" t="str">
        <f ca="1">RESULTADOS!BD40</f>
        <v>Pasa</v>
      </c>
      <c r="CA23" s="146" t="str">
        <f ca="1">RESULTADOS!BE40</f>
        <v>N/A</v>
      </c>
      <c r="CB23" s="146" t="str">
        <f ca="1">RESULTADOS!BF40</f>
        <v>N/A</v>
      </c>
      <c r="CC23" s="146" t="str">
        <f ca="1">RESULTADOS!BG40</f>
        <v>N/A</v>
      </c>
      <c r="CD23" s="146" t="str">
        <f ca="1">RESULTADOS!BH40</f>
        <v>N/A</v>
      </c>
      <c r="CE23" s="146" t="str">
        <f ca="1">RESULTADOS!BI40</f>
        <v>N/A</v>
      </c>
      <c r="CF23" s="146" t="str">
        <f ca="1">RESULTADOS!BJ40</f>
        <v>N/A</v>
      </c>
      <c r="CG23" s="146" t="str">
        <f ca="1">RESULTADOS!BK40</f>
        <v>Pasa</v>
      </c>
      <c r="CH23" s="146" t="str">
        <f ca="1">RESULTADOS!BL40</f>
        <v>Pasa</v>
      </c>
      <c r="CI23" s="146" t="str">
        <f ca="1">RESULTADOS!BM40</f>
        <v>N/A</v>
      </c>
      <c r="CJ23" s="146" t="str">
        <f ca="1">RESULTADOS!BN40</f>
        <v>Falla</v>
      </c>
      <c r="CK23" s="146" t="str">
        <f ca="1">RESULTADOS!BO40</f>
        <v>Pasa</v>
      </c>
      <c r="CL23" s="146" t="str">
        <f ca="1">RESULTADOS!BP40</f>
        <v>N/A</v>
      </c>
      <c r="CM23" s="146" t="str">
        <f ca="1">RESULTADOS!BQ40</f>
        <v>Pasa</v>
      </c>
      <c r="CN23" s="146" t="str">
        <f ca="1">RESULTADOS!BR40</f>
        <v>Pasa</v>
      </c>
      <c r="CO23" s="146" t="str">
        <f ca="1">RESULTADOS!BS40</f>
        <v>N/A</v>
      </c>
      <c r="CP23" s="146" t="str">
        <f ca="1">RESULTADOS!BT40</f>
        <v>Pasa</v>
      </c>
      <c r="CQ23" s="146" t="str">
        <f ca="1">RESULTADOS!BU40</f>
        <v>N/A</v>
      </c>
      <c r="CR23" s="146" t="str">
        <f ca="1">RESULTADOS!BV40</f>
        <v>Pasa</v>
      </c>
      <c r="CS23" s="146" t="str">
        <f ca="1">RESULTADOS!BW40</f>
        <v>Pasa</v>
      </c>
      <c r="CT23" s="146" t="str">
        <f ca="1">RESULTADOS!BX40</f>
        <v>N/A</v>
      </c>
      <c r="CU23" s="146" t="str">
        <f ca="1">RESULTADOS!BY40</f>
        <v>N/A</v>
      </c>
      <c r="CV23" s="146" t="str">
        <f ca="1">RESULTADOS!BZ40</f>
        <v>N/A</v>
      </c>
      <c r="CW23" s="146" t="str">
        <f ca="1">RESULTADOS!CA40</f>
        <v>Pasa</v>
      </c>
      <c r="CX23" s="146" t="str">
        <f ca="1">RESULTADOS!CB40</f>
        <v>N/A</v>
      </c>
      <c r="CY23" s="146" t="str">
        <f ca="1">RESULTADOS!CC40</f>
        <v>N/A</v>
      </c>
      <c r="CZ23" s="146" t="str">
        <f ca="1">RESULTADOS!CD40</f>
        <v>N/A</v>
      </c>
      <c r="DA23" s="146" t="str">
        <f ca="1">RESULTADOS!CE40</f>
        <v>Falla</v>
      </c>
      <c r="DB23" s="146" t="str">
        <f ca="1">RESULTADOS!CF40</f>
        <v>N/A</v>
      </c>
      <c r="DC23" s="146" t="str">
        <f ca="1">RESULTADOS!CG40</f>
        <v>Falla</v>
      </c>
      <c r="DD23" s="146" t="str">
        <f ca="1">RESULTADOS!CH40</f>
        <v>Pasa</v>
      </c>
      <c r="DE23" s="146" t="str">
        <f ca="1">RESULTADOS!CI40</f>
        <v>N/A</v>
      </c>
      <c r="DF23" s="146" t="str">
        <f ca="1">RESULTADOS!CJ40</f>
        <v>N/A</v>
      </c>
      <c r="DG23" s="146" t="str">
        <f ca="1">RESULTADOS!CK40</f>
        <v>N/A</v>
      </c>
      <c r="DH23" s="146" t="str">
        <f ca="1">RESULTADOS!CL40</f>
        <v>N/A</v>
      </c>
      <c r="DI23" s="146" t="str">
        <f ca="1">RESULTADOS!CM40</f>
        <v>N/A</v>
      </c>
      <c r="DJ23" s="146" t="str">
        <f ca="1">RESULTADOS!CN40</f>
        <v>N/A</v>
      </c>
      <c r="DK23" s="146" t="str">
        <f ca="1">RESULTADOS!CO40</f>
        <v>N/A</v>
      </c>
      <c r="DL23" s="146" t="str">
        <f ca="1">RESULTADOS!CP40</f>
        <v>N/A</v>
      </c>
      <c r="DM23" s="146" t="str">
        <f ca="1">RESULTADOS!CQ40</f>
        <v>N/A</v>
      </c>
      <c r="DN23" s="146" t="str">
        <f ca="1">RESULTADOS!CR40</f>
        <v>N/A</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ht="13">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ht="13">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ht="13">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ht="13">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ht="13">
      <c r="C28" s="144"/>
      <c r="K28" s="40" t="s">
        <v>144</v>
      </c>
      <c r="L28" s="149" t="str">
        <f ca="1">RESULTADOS!D14</f>
        <v>No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ht="13">
      <c r="C29" s="144" t="s">
        <v>145</v>
      </c>
      <c r="D29" s="147" t="str">
        <f>'01.Definición de ámbito'!C58</f>
        <v>Autoevaluación con recursos externos</v>
      </c>
      <c r="K29" s="40" t="s">
        <v>349</v>
      </c>
      <c r="L29" s="150">
        <f ca="1">RESULTADOS!F14</f>
        <v>4.5199999999999996</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MADRID DIGITAL</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ht="13">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ht="13">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B2" zoomScale="80" zoomScaleNormal="80"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4"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5" customHeight="1">
      <c r="A3" s="27"/>
      <c r="B3" s="65" t="s">
        <v>277</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4"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5" customHeight="1">
      <c r="B7" s="13" t="s">
        <v>126</v>
      </c>
      <c r="C7" s="80" t="s">
        <v>546</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5" customHeight="1">
      <c r="B9" s="13" t="s">
        <v>131</v>
      </c>
      <c r="C9" s="80" t="s">
        <v>547</v>
      </c>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5" customHeight="1">
      <c r="B11" s="13" t="s">
        <v>134</v>
      </c>
      <c r="C11" s="80" t="s">
        <v>548</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5" customHeight="1">
      <c r="B13" s="13" t="s">
        <v>135</v>
      </c>
      <c r="C13" s="80" t="s">
        <v>549</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4"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5" customHeight="1">
      <c r="B17" s="16" t="s">
        <v>280</v>
      </c>
      <c r="C17" s="80" t="s">
        <v>479</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5" customHeight="1">
      <c r="B19" s="13" t="s">
        <v>136</v>
      </c>
      <c r="C19" s="80" t="s">
        <v>550</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5" customHeight="1">
      <c r="B21" s="16" t="s">
        <v>281</v>
      </c>
      <c r="C21" s="80" t="s">
        <v>551</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5"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4"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5"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5" customHeight="1">
      <c r="B27" s="16" t="s">
        <v>283</v>
      </c>
      <c r="C27" s="80" t="s">
        <v>482</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5" customHeight="1">
      <c r="B29" s="16" t="s">
        <v>284</v>
      </c>
      <c r="C29" s="80" t="s">
        <v>483</v>
      </c>
      <c r="D29" s="128"/>
      <c r="E29" s="128"/>
      <c r="F29" s="128"/>
      <c r="G29" s="128"/>
      <c r="H29" s="128"/>
      <c r="I29" s="128"/>
      <c r="J29" s="128"/>
      <c r="K29" s="128"/>
      <c r="L29" s="128"/>
      <c r="M29" s="128"/>
      <c r="N29" s="19"/>
      <c r="O29" s="19"/>
      <c r="P29" s="19"/>
      <c r="Q29" s="19"/>
      <c r="R29" s="19"/>
      <c r="S29" s="19"/>
      <c r="V29" s="19"/>
      <c r="W29" s="19"/>
      <c r="X29" s="19"/>
      <c r="Y29" s="19"/>
      <c r="Z29" s="19"/>
    </row>
    <row r="30" spans="1:26" ht="13.2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5" customHeight="1">
      <c r="B31" s="13" t="s">
        <v>138</v>
      </c>
      <c r="C31" s="80" t="s">
        <v>480</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482</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45800</v>
      </c>
      <c r="D35" s="128"/>
      <c r="E35" s="128"/>
      <c r="F35" s="128"/>
      <c r="G35" s="128"/>
      <c r="H35" s="128"/>
      <c r="I35" s="128"/>
      <c r="J35" s="128"/>
      <c r="K35" s="128"/>
      <c r="L35" s="128"/>
      <c r="M35" s="128"/>
    </row>
    <row r="36" spans="2:26" ht="11.4" customHeight="1">
      <c r="B36" s="16"/>
      <c r="C36" s="16"/>
    </row>
    <row r="37" spans="2:26" ht="14.15"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5"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5" customHeight="1">
      <c r="B45" s="13" t="s">
        <v>143</v>
      </c>
      <c r="C45" s="80" t="s">
        <v>62</v>
      </c>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9" customHeight="1">
      <c r="C48" s="82" t="s">
        <v>5</v>
      </c>
      <c r="D48" s="20" t="s">
        <v>6</v>
      </c>
      <c r="G48" s="81"/>
    </row>
    <row r="49" spans="2:26" ht="14.9" customHeight="1">
      <c r="C49" s="82" t="s">
        <v>273</v>
      </c>
      <c r="D49" s="20" t="s">
        <v>6</v>
      </c>
      <c r="G49" s="81"/>
    </row>
    <row r="50" spans="2:26" ht="14.9" customHeight="1">
      <c r="C50" s="82" t="s">
        <v>274</v>
      </c>
      <c r="D50" s="20" t="s">
        <v>6</v>
      </c>
      <c r="G50" s="81"/>
    </row>
    <row r="51" spans="2:26" ht="14.9" customHeight="1">
      <c r="C51" s="82" t="s">
        <v>7</v>
      </c>
      <c r="D51" s="20" t="s">
        <v>6</v>
      </c>
      <c r="G51" s="81"/>
    </row>
    <row r="52" spans="2:26" ht="14.9" customHeight="1">
      <c r="C52" s="82" t="s">
        <v>8</v>
      </c>
      <c r="D52" s="20" t="s">
        <v>6</v>
      </c>
      <c r="G52" s="81"/>
    </row>
    <row r="53" spans="2:26" ht="14.9" customHeight="1">
      <c r="C53" s="82" t="s">
        <v>9</v>
      </c>
      <c r="D53" s="20" t="s">
        <v>6</v>
      </c>
      <c r="G53" s="81"/>
    </row>
    <row r="54" spans="2:26" ht="14.9" customHeight="1">
      <c r="C54" s="82" t="s">
        <v>275</v>
      </c>
      <c r="D54" s="20" t="s">
        <v>6</v>
      </c>
      <c r="G54" s="81"/>
    </row>
    <row r="55" spans="2:26" ht="14.9" customHeight="1">
      <c r="C55" s="82" t="s">
        <v>276</v>
      </c>
      <c r="D55" s="20" t="s">
        <v>6</v>
      </c>
      <c r="G55" s="81"/>
    </row>
    <row r="56" spans="2:26" ht="14.9" customHeight="1">
      <c r="C56" s="82" t="s">
        <v>10</v>
      </c>
      <c r="D56" s="20" t="s">
        <v>6</v>
      </c>
      <c r="G56" s="81"/>
    </row>
    <row r="57" spans="2:26" ht="13.2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5"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5"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99999999999999"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0" zoomScaleNormal="80" workbookViewId="0">
      <selection activeCell="C13" sqref="C13"/>
    </sheetView>
  </sheetViews>
  <sheetFormatPr baseColWidth="10" defaultColWidth="11.54296875" defaultRowHeight="12.5"/>
  <cols>
    <col min="1" max="1" width="11.54296875" style="192"/>
    <col min="2" max="2" width="14" style="192" customWidth="1"/>
    <col min="3" max="3" width="8.6328125" style="192" customWidth="1"/>
    <col min="4" max="4" width="9.453125" style="192" customWidth="1"/>
    <col min="5" max="5" width="14.453125" style="192" customWidth="1"/>
    <col min="6" max="6" width="8.54296875" style="192" customWidth="1"/>
    <col min="7" max="7" width="11.54296875" style="192"/>
    <col min="8" max="8" width="12" style="192" customWidth="1"/>
    <col min="9" max="9" width="8.6328125" style="192" customWidth="1"/>
    <col min="10" max="10" width="11.54296875" style="192"/>
    <col min="11" max="11" width="19.54296875" style="192" customWidth="1"/>
    <col min="12" max="12" width="40.6328125" style="192" customWidth="1"/>
    <col min="13" max="16384" width="11.5429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4"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5"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4"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2" t="s">
        <v>290</v>
      </c>
      <c r="C6" s="252"/>
      <c r="D6" s="252"/>
      <c r="E6" s="252"/>
      <c r="F6" s="252"/>
      <c r="G6" s="252"/>
      <c r="H6" s="252"/>
      <c r="I6" s="252"/>
      <c r="J6" s="252"/>
      <c r="K6" s="252"/>
      <c r="L6" s="252"/>
    </row>
    <row r="7" spans="1:60" ht="33.15" customHeight="1" thickTop="1">
      <c r="B7" s="253" t="s">
        <v>291</v>
      </c>
      <c r="C7" s="253"/>
      <c r="D7" s="253"/>
      <c r="E7" s="253"/>
      <c r="F7" s="253"/>
      <c r="G7" s="253"/>
      <c r="H7" s="253"/>
      <c r="I7" s="253"/>
      <c r="J7" s="253"/>
      <c r="K7" s="253"/>
      <c r="L7" s="253"/>
    </row>
    <row r="8" spans="1:60" ht="21.65" customHeight="1"/>
    <row r="9" spans="1:60" ht="17.149999999999999" customHeight="1">
      <c r="B9" s="200" t="s">
        <v>292</v>
      </c>
      <c r="C9" s="201" t="s">
        <v>59</v>
      </c>
      <c r="E9" s="200" t="s">
        <v>293</v>
      </c>
      <c r="F9" s="201" t="s">
        <v>6</v>
      </c>
      <c r="H9" s="200" t="s">
        <v>294</v>
      </c>
      <c r="I9" s="201" t="s">
        <v>6</v>
      </c>
    </row>
    <row r="10" spans="1:60" ht="17.149999999999999" customHeight="1">
      <c r="B10" s="200" t="s">
        <v>295</v>
      </c>
      <c r="C10" s="201" t="s">
        <v>6</v>
      </c>
      <c r="E10" s="200" t="s">
        <v>296</v>
      </c>
      <c r="F10" s="201" t="s">
        <v>6</v>
      </c>
      <c r="H10" s="200" t="s">
        <v>297</v>
      </c>
      <c r="I10" s="201" t="s">
        <v>6</v>
      </c>
    </row>
    <row r="11" spans="1:60" ht="17.149999999999999" customHeight="1">
      <c r="B11" s="200" t="s">
        <v>298</v>
      </c>
      <c r="C11" s="201" t="s">
        <v>6</v>
      </c>
      <c r="E11" s="200" t="s">
        <v>299</v>
      </c>
      <c r="F11" s="201" t="s">
        <v>6</v>
      </c>
      <c r="H11" s="200" t="s">
        <v>300</v>
      </c>
      <c r="I11" s="201" t="s">
        <v>6</v>
      </c>
    </row>
    <row r="12" spans="1:60" ht="17.149999999999999" customHeight="1">
      <c r="B12" s="200" t="s">
        <v>301</v>
      </c>
      <c r="C12" s="201" t="s">
        <v>59</v>
      </c>
      <c r="E12" s="200" t="s">
        <v>302</v>
      </c>
      <c r="F12" s="201" t="s">
        <v>6</v>
      </c>
      <c r="H12" s="200" t="s">
        <v>303</v>
      </c>
      <c r="I12" s="201" t="s">
        <v>6</v>
      </c>
      <c r="K12" s="202" t="s">
        <v>304</v>
      </c>
      <c r="L12" s="202" t="s">
        <v>305</v>
      </c>
    </row>
    <row r="13" spans="1:60" ht="17.149999999999999" customHeight="1">
      <c r="B13" s="200" t="s">
        <v>306</v>
      </c>
      <c r="C13" s="201" t="s">
        <v>59</v>
      </c>
      <c r="E13" s="200" t="s">
        <v>307</v>
      </c>
      <c r="F13" s="201" t="s">
        <v>6</v>
      </c>
      <c r="K13" s="203"/>
      <c r="L13" s="203"/>
    </row>
    <row r="14" spans="1:60" ht="17.149999999999999" customHeight="1">
      <c r="K14" s="203"/>
      <c r="L14" s="203"/>
    </row>
    <row r="15" spans="1:60" ht="17.149999999999999" customHeight="1">
      <c r="K15" s="203"/>
      <c r="L15" s="203"/>
    </row>
    <row r="16" spans="1:60" ht="17.149999999999999" customHeight="1">
      <c r="K16" s="203"/>
      <c r="L16" s="203"/>
    </row>
    <row r="17" spans="3:12">
      <c r="C17" s="254" t="s">
        <v>308</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80" zoomScaleNormal="80" workbookViewId="0">
      <selection activeCell="F27" sqref="F27"/>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4"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5"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4"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99999999999999"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484</v>
      </c>
      <c r="D8" s="72" t="s">
        <v>485</v>
      </c>
      <c r="E8" s="72" t="s">
        <v>61</v>
      </c>
      <c r="F8" s="158" t="s">
        <v>483</v>
      </c>
      <c r="G8" s="72" t="s">
        <v>522</v>
      </c>
      <c r="H8" s="187" t="s">
        <v>540</v>
      </c>
      <c r="I8" s="19"/>
      <c r="J8" s="19"/>
      <c r="K8" s="19"/>
      <c r="L8" s="19"/>
      <c r="M8" s="19"/>
      <c r="N8" s="19"/>
      <c r="O8" s="19"/>
      <c r="P8" s="19"/>
      <c r="Q8" s="19"/>
      <c r="R8" s="19"/>
      <c r="S8" s="19"/>
      <c r="T8" s="19"/>
      <c r="U8" s="19"/>
      <c r="V8" s="19"/>
      <c r="W8" s="19"/>
      <c r="X8" s="19"/>
      <c r="Y8" s="19"/>
    </row>
    <row r="9" spans="1:64" ht="18.149999999999999" customHeight="1">
      <c r="B9" s="70">
        <v>2</v>
      </c>
      <c r="C9" s="71" t="s">
        <v>521</v>
      </c>
      <c r="D9" s="72" t="s">
        <v>485</v>
      </c>
      <c r="E9" s="72" t="s">
        <v>78</v>
      </c>
      <c r="F9" s="158" t="s">
        <v>486</v>
      </c>
      <c r="G9" s="72" t="s">
        <v>539</v>
      </c>
      <c r="H9" s="132" t="s">
        <v>540</v>
      </c>
      <c r="I9" s="19"/>
      <c r="J9" s="19"/>
      <c r="K9" s="19"/>
      <c r="L9" s="19"/>
      <c r="M9" s="19"/>
      <c r="N9" s="19"/>
      <c r="O9" s="19"/>
      <c r="P9" s="19"/>
      <c r="Q9" s="19"/>
      <c r="R9" s="19"/>
      <c r="S9" s="19"/>
      <c r="T9" s="19"/>
      <c r="U9" s="19"/>
      <c r="V9" s="19"/>
      <c r="W9" s="19"/>
      <c r="X9" s="19"/>
      <c r="Y9" s="19"/>
    </row>
    <row r="10" spans="1:64" ht="18.149999999999999" customHeight="1">
      <c r="B10" s="70">
        <v>3</v>
      </c>
      <c r="C10" s="71" t="s">
        <v>520</v>
      </c>
      <c r="D10" s="72" t="s">
        <v>485</v>
      </c>
      <c r="E10" s="72" t="s">
        <v>79</v>
      </c>
      <c r="F10" s="158" t="s">
        <v>487</v>
      </c>
      <c r="G10" s="72" t="s">
        <v>541</v>
      </c>
      <c r="H10" s="132" t="s">
        <v>540</v>
      </c>
      <c r="I10" s="19"/>
      <c r="J10" s="19"/>
      <c r="K10" s="19"/>
      <c r="L10" s="19"/>
      <c r="M10" s="19"/>
      <c r="N10" s="19"/>
      <c r="O10" s="19"/>
      <c r="P10" s="19"/>
      <c r="Q10" s="19"/>
      <c r="R10" s="19"/>
      <c r="S10" s="19"/>
      <c r="T10" s="19"/>
      <c r="U10" s="19"/>
      <c r="V10" s="19"/>
      <c r="W10" s="19"/>
      <c r="X10" s="19"/>
      <c r="Y10" s="19"/>
    </row>
    <row r="11" spans="1:64" ht="18.149999999999999" customHeight="1">
      <c r="B11" s="70">
        <v>4</v>
      </c>
      <c r="C11" s="71" t="s">
        <v>519</v>
      </c>
      <c r="D11" s="72" t="s">
        <v>485</v>
      </c>
      <c r="E11" s="72" t="s">
        <v>78</v>
      </c>
      <c r="F11" s="158" t="s">
        <v>488</v>
      </c>
      <c r="G11" s="72" t="s">
        <v>542</v>
      </c>
      <c r="H11" s="132" t="s">
        <v>540</v>
      </c>
      <c r="I11" s="19"/>
      <c r="J11" s="19"/>
      <c r="K11" s="19"/>
      <c r="L11" s="19"/>
      <c r="M11" s="19"/>
      <c r="N11" s="19"/>
      <c r="O11" s="19"/>
      <c r="P11" s="19"/>
      <c r="Q11" s="19"/>
      <c r="R11" s="19"/>
      <c r="S11" s="19"/>
      <c r="T11" s="19"/>
      <c r="U11" s="19"/>
      <c r="V11" s="19"/>
      <c r="W11" s="19"/>
      <c r="X11" s="19"/>
      <c r="Y11" s="19"/>
    </row>
    <row r="12" spans="1:64" ht="18.149999999999999" customHeight="1">
      <c r="B12" s="70">
        <v>5</v>
      </c>
      <c r="C12" s="71" t="s">
        <v>518</v>
      </c>
      <c r="D12" s="72" t="s">
        <v>485</v>
      </c>
      <c r="E12" s="72" t="s">
        <v>65</v>
      </c>
      <c r="F12" s="158" t="s">
        <v>489</v>
      </c>
      <c r="G12" s="72" t="s">
        <v>538</v>
      </c>
      <c r="H12" s="132" t="s">
        <v>540</v>
      </c>
      <c r="I12" s="19"/>
      <c r="J12" s="19"/>
      <c r="K12" s="19"/>
      <c r="L12" s="19"/>
      <c r="M12" s="19"/>
      <c r="N12" s="19"/>
      <c r="O12" s="19"/>
      <c r="P12" s="19"/>
      <c r="Q12" s="19"/>
      <c r="R12" s="19"/>
      <c r="S12" s="19"/>
      <c r="T12" s="19"/>
      <c r="U12" s="19"/>
      <c r="V12" s="19"/>
      <c r="W12" s="19"/>
      <c r="X12" s="19"/>
      <c r="Y12" s="19"/>
    </row>
    <row r="13" spans="1:64" ht="18.149999999999999" customHeight="1">
      <c r="B13" s="70">
        <v>6</v>
      </c>
      <c r="C13" s="71" t="s">
        <v>517</v>
      </c>
      <c r="D13" s="72" t="s">
        <v>485</v>
      </c>
      <c r="E13" s="72" t="s">
        <v>79</v>
      </c>
      <c r="F13" s="158" t="s">
        <v>490</v>
      </c>
      <c r="G13" s="72" t="s">
        <v>537</v>
      </c>
      <c r="H13" s="132" t="s">
        <v>540</v>
      </c>
      <c r="I13" s="19"/>
      <c r="J13" s="19"/>
      <c r="K13" s="19"/>
      <c r="L13" s="19"/>
      <c r="M13" s="19"/>
      <c r="N13" s="19"/>
      <c r="O13" s="19"/>
      <c r="P13" s="19"/>
      <c r="Q13" s="19"/>
      <c r="R13" s="19"/>
      <c r="S13" s="19"/>
      <c r="T13" s="19"/>
      <c r="V13" s="19"/>
      <c r="W13" s="19"/>
      <c r="X13" s="19"/>
      <c r="Y13" s="19"/>
    </row>
    <row r="14" spans="1:64" ht="18.149999999999999" customHeight="1">
      <c r="B14" s="70">
        <v>7</v>
      </c>
      <c r="C14" s="71" t="s">
        <v>516</v>
      </c>
      <c r="D14" s="72" t="s">
        <v>485</v>
      </c>
      <c r="E14" s="72" t="s">
        <v>78</v>
      </c>
      <c r="F14" s="158" t="s">
        <v>491</v>
      </c>
      <c r="G14" s="72" t="s">
        <v>536</v>
      </c>
      <c r="H14" s="132" t="s">
        <v>540</v>
      </c>
      <c r="I14" s="19"/>
      <c r="J14" s="19"/>
      <c r="K14" s="19"/>
      <c r="L14" s="19"/>
      <c r="M14" s="19"/>
      <c r="N14" s="19"/>
      <c r="O14" s="19"/>
      <c r="P14" s="19"/>
      <c r="Q14" s="19"/>
      <c r="R14" s="19"/>
      <c r="S14" s="19"/>
      <c r="T14" s="19"/>
      <c r="U14" s="19"/>
      <c r="V14" s="19"/>
      <c r="W14" s="19"/>
      <c r="X14" s="19"/>
      <c r="Y14" s="19"/>
    </row>
    <row r="15" spans="1:64" ht="18.149999999999999" customHeight="1">
      <c r="B15" s="70">
        <v>8</v>
      </c>
      <c r="C15" s="71" t="s">
        <v>515</v>
      </c>
      <c r="D15" s="72" t="s">
        <v>485</v>
      </c>
      <c r="E15" s="72" t="s">
        <v>72</v>
      </c>
      <c r="F15" s="158" t="s">
        <v>492</v>
      </c>
      <c r="G15" s="72" t="s">
        <v>535</v>
      </c>
      <c r="H15" s="132" t="s">
        <v>540</v>
      </c>
      <c r="I15" s="19"/>
      <c r="J15" s="19"/>
      <c r="K15" s="19"/>
      <c r="L15" s="19"/>
      <c r="M15" s="19"/>
      <c r="N15" s="19"/>
      <c r="O15" s="19"/>
      <c r="P15" s="19"/>
      <c r="Q15" s="19"/>
      <c r="R15" s="19"/>
      <c r="S15" s="19"/>
      <c r="T15" s="19"/>
      <c r="U15" s="19"/>
      <c r="V15" s="19"/>
      <c r="W15" s="19"/>
      <c r="X15" s="19"/>
      <c r="Y15" s="19"/>
    </row>
    <row r="16" spans="1:64" ht="18.149999999999999" customHeight="1">
      <c r="B16" s="70">
        <v>9</v>
      </c>
      <c r="C16" s="71" t="s">
        <v>513</v>
      </c>
      <c r="D16" s="72" t="s">
        <v>485</v>
      </c>
      <c r="E16" s="72" t="s">
        <v>78</v>
      </c>
      <c r="F16" s="158" t="s">
        <v>493</v>
      </c>
      <c r="G16" s="72" t="s">
        <v>534</v>
      </c>
      <c r="H16" s="132" t="s">
        <v>540</v>
      </c>
      <c r="I16" s="19"/>
      <c r="J16" s="19"/>
      <c r="K16" s="19"/>
      <c r="L16" s="19"/>
      <c r="M16" s="19"/>
      <c r="N16" s="19"/>
      <c r="O16" s="19"/>
      <c r="P16" s="19"/>
      <c r="Q16" s="19"/>
      <c r="R16" s="19"/>
      <c r="S16" s="19"/>
      <c r="T16" s="19"/>
      <c r="U16" s="19"/>
      <c r="V16" s="19"/>
      <c r="W16" s="19"/>
      <c r="X16" s="19"/>
      <c r="Y16" s="19"/>
    </row>
    <row r="17" spans="2:25" ht="18.149999999999999" customHeight="1">
      <c r="B17" s="70">
        <v>10</v>
      </c>
      <c r="C17" s="71" t="s">
        <v>512</v>
      </c>
      <c r="D17" s="72" t="s">
        <v>485</v>
      </c>
      <c r="E17" s="72" t="s">
        <v>79</v>
      </c>
      <c r="F17" s="158" t="s">
        <v>494</v>
      </c>
      <c r="G17" s="72" t="s">
        <v>533</v>
      </c>
      <c r="H17" s="132" t="s">
        <v>540</v>
      </c>
      <c r="I17" s="19"/>
      <c r="J17" s="19"/>
      <c r="K17" s="19"/>
      <c r="L17" s="19"/>
      <c r="M17" s="19"/>
      <c r="N17" s="19"/>
      <c r="O17" s="19"/>
      <c r="P17" s="19"/>
      <c r="Q17" s="19"/>
      <c r="R17" s="19"/>
      <c r="S17" s="19"/>
      <c r="T17" s="19"/>
      <c r="U17" s="19"/>
      <c r="V17" s="19"/>
      <c r="W17" s="19"/>
      <c r="X17" s="19"/>
      <c r="Y17" s="19"/>
    </row>
    <row r="18" spans="2:25" ht="18.149999999999999" customHeight="1">
      <c r="B18" s="70">
        <v>11</v>
      </c>
      <c r="C18" s="71" t="s">
        <v>511</v>
      </c>
      <c r="D18" s="72" t="s">
        <v>485</v>
      </c>
      <c r="E18" s="72" t="s">
        <v>78</v>
      </c>
      <c r="F18" s="158" t="s">
        <v>495</v>
      </c>
      <c r="G18" s="72" t="s">
        <v>532</v>
      </c>
      <c r="H18" s="132" t="s">
        <v>540</v>
      </c>
      <c r="I18" s="19"/>
      <c r="J18" s="19"/>
      <c r="K18" s="19"/>
      <c r="L18" s="19"/>
      <c r="M18" s="19"/>
      <c r="N18" s="19"/>
      <c r="O18" s="19"/>
      <c r="P18" s="19"/>
      <c r="Q18" s="19"/>
      <c r="R18" s="19"/>
      <c r="S18" s="19"/>
      <c r="T18" s="19"/>
      <c r="U18" s="19"/>
      <c r="V18" s="19"/>
      <c r="W18" s="19"/>
      <c r="X18" s="19"/>
      <c r="Y18" s="19"/>
    </row>
    <row r="19" spans="2:25" ht="18.149999999999999" customHeight="1">
      <c r="B19" s="70">
        <v>12</v>
      </c>
      <c r="C19" s="71" t="s">
        <v>514</v>
      </c>
      <c r="D19" s="72" t="s">
        <v>485</v>
      </c>
      <c r="E19" s="72" t="s">
        <v>65</v>
      </c>
      <c r="F19" s="158" t="s">
        <v>503</v>
      </c>
      <c r="G19" s="72" t="s">
        <v>531</v>
      </c>
      <c r="H19" s="132" t="s">
        <v>540</v>
      </c>
      <c r="I19" s="19"/>
      <c r="J19" s="19"/>
      <c r="K19" s="19"/>
      <c r="L19" s="19"/>
      <c r="M19" s="19"/>
      <c r="N19" s="19"/>
      <c r="O19" s="19"/>
      <c r="P19" s="19"/>
      <c r="Q19" s="19"/>
      <c r="R19" s="19"/>
      <c r="S19" s="19"/>
      <c r="T19" s="19"/>
      <c r="U19" s="19"/>
      <c r="V19" s="19"/>
      <c r="W19" s="19"/>
      <c r="X19" s="19"/>
      <c r="Y19" s="19"/>
    </row>
    <row r="20" spans="2:25" ht="18.149999999999999" customHeight="1">
      <c r="B20" s="70">
        <v>13</v>
      </c>
      <c r="C20" s="71" t="s">
        <v>510</v>
      </c>
      <c r="D20" s="72" t="s">
        <v>485</v>
      </c>
      <c r="E20" s="72" t="s">
        <v>75</v>
      </c>
      <c r="F20" s="158" t="s">
        <v>502</v>
      </c>
      <c r="G20" s="72" t="s">
        <v>530</v>
      </c>
      <c r="H20" s="132" t="s">
        <v>540</v>
      </c>
      <c r="I20" s="19"/>
      <c r="J20" s="19"/>
      <c r="K20" s="19"/>
      <c r="L20" s="19"/>
      <c r="M20" s="19"/>
      <c r="N20" s="19"/>
      <c r="O20" s="19"/>
      <c r="P20" s="19"/>
      <c r="Q20" s="19"/>
      <c r="R20" s="19"/>
      <c r="S20" s="19"/>
      <c r="T20" s="19"/>
      <c r="U20" s="19"/>
      <c r="V20" s="19"/>
      <c r="W20" s="19"/>
      <c r="X20" s="19"/>
      <c r="Y20" s="19"/>
    </row>
    <row r="21" spans="2:25" ht="18.149999999999999" customHeight="1">
      <c r="B21" s="70">
        <v>14</v>
      </c>
      <c r="C21" s="71" t="s">
        <v>509</v>
      </c>
      <c r="D21" s="72" t="s">
        <v>485</v>
      </c>
      <c r="E21" s="72" t="s">
        <v>78</v>
      </c>
      <c r="F21" s="158" t="s">
        <v>501</v>
      </c>
      <c r="G21" s="72" t="s">
        <v>529</v>
      </c>
      <c r="H21" s="132" t="s">
        <v>540</v>
      </c>
      <c r="I21" s="19"/>
      <c r="J21" s="19"/>
      <c r="K21" s="19"/>
      <c r="L21" s="19"/>
      <c r="M21" s="19"/>
      <c r="N21" s="19"/>
      <c r="O21" s="19"/>
      <c r="P21" s="19"/>
      <c r="Q21" s="19"/>
      <c r="R21" s="19"/>
      <c r="S21" s="19"/>
      <c r="T21" s="19"/>
      <c r="U21" s="19"/>
      <c r="V21" s="19"/>
      <c r="W21" s="19"/>
      <c r="X21" s="19"/>
      <c r="Y21" s="19"/>
    </row>
    <row r="22" spans="2:25" ht="18.149999999999999" customHeight="1">
      <c r="B22" s="70">
        <v>15</v>
      </c>
      <c r="C22" s="71" t="s">
        <v>69</v>
      </c>
      <c r="D22" s="72" t="s">
        <v>485</v>
      </c>
      <c r="E22" s="72" t="s">
        <v>69</v>
      </c>
      <c r="F22" s="158" t="s">
        <v>500</v>
      </c>
      <c r="G22" s="72" t="s">
        <v>528</v>
      </c>
      <c r="H22" s="132" t="s">
        <v>540</v>
      </c>
      <c r="I22" s="19"/>
      <c r="J22" s="19"/>
      <c r="K22" s="19"/>
      <c r="L22" s="19"/>
      <c r="M22" s="19"/>
      <c r="N22" s="19"/>
      <c r="O22" s="19"/>
      <c r="P22" s="19"/>
      <c r="Q22" s="19"/>
      <c r="R22" s="19"/>
      <c r="S22" s="19"/>
      <c r="T22" s="19"/>
      <c r="U22" s="19"/>
      <c r="V22" s="19"/>
      <c r="W22" s="19"/>
      <c r="X22" s="19"/>
      <c r="Y22" s="19"/>
    </row>
    <row r="23" spans="2:25" ht="18.149999999999999" customHeight="1">
      <c r="B23" s="70">
        <v>16</v>
      </c>
      <c r="C23" s="71" t="s">
        <v>508</v>
      </c>
      <c r="D23" s="72" t="s">
        <v>485</v>
      </c>
      <c r="E23" s="72" t="s">
        <v>73</v>
      </c>
      <c r="F23" s="158" t="s">
        <v>499</v>
      </c>
      <c r="G23" s="72" t="s">
        <v>527</v>
      </c>
      <c r="H23" s="132" t="s">
        <v>540</v>
      </c>
      <c r="I23" s="19"/>
      <c r="J23" s="19"/>
      <c r="K23" s="19"/>
      <c r="L23" s="19"/>
      <c r="M23" s="19"/>
      <c r="N23" s="19"/>
      <c r="O23" s="19"/>
      <c r="P23" s="19"/>
      <c r="Q23" s="19"/>
      <c r="R23" s="19"/>
      <c r="S23" s="19"/>
      <c r="T23" s="19"/>
      <c r="U23" s="19"/>
      <c r="V23" s="19"/>
      <c r="W23" s="19"/>
      <c r="X23" s="19"/>
      <c r="Y23" s="19"/>
    </row>
    <row r="24" spans="2:25" ht="18.149999999999999" customHeight="1">
      <c r="B24" s="70">
        <v>17</v>
      </c>
      <c r="C24" s="71" t="s">
        <v>507</v>
      </c>
      <c r="D24" s="72" t="s">
        <v>485</v>
      </c>
      <c r="E24" s="72" t="s">
        <v>73</v>
      </c>
      <c r="F24" s="158" t="s">
        <v>498</v>
      </c>
      <c r="G24" s="72" t="s">
        <v>526</v>
      </c>
      <c r="H24" s="132" t="s">
        <v>540</v>
      </c>
      <c r="I24" s="19"/>
      <c r="J24" s="19"/>
      <c r="K24" s="19"/>
      <c r="L24" s="19"/>
      <c r="M24" s="19"/>
      <c r="N24" s="19"/>
      <c r="O24" s="19"/>
      <c r="P24" s="19"/>
      <c r="Q24" s="19"/>
      <c r="R24" s="19"/>
      <c r="S24" s="19"/>
      <c r="T24" s="19"/>
      <c r="U24" s="19"/>
      <c r="V24" s="19"/>
      <c r="W24" s="19"/>
      <c r="X24" s="19"/>
      <c r="Y24" s="19"/>
    </row>
    <row r="25" spans="2:25" ht="18.149999999999999" customHeight="1">
      <c r="B25" s="70">
        <v>18</v>
      </c>
      <c r="C25" s="71" t="s">
        <v>506</v>
      </c>
      <c r="D25" s="72" t="s">
        <v>485</v>
      </c>
      <c r="E25" s="72" t="s">
        <v>73</v>
      </c>
      <c r="F25" s="158" t="s">
        <v>544</v>
      </c>
      <c r="G25" s="72" t="s">
        <v>525</v>
      </c>
      <c r="H25" s="132" t="s">
        <v>540</v>
      </c>
      <c r="I25" s="19"/>
      <c r="J25" s="19"/>
      <c r="K25" s="19"/>
      <c r="L25" s="19"/>
      <c r="M25" s="19"/>
      <c r="N25" s="19"/>
      <c r="O25" s="19"/>
      <c r="P25" s="19"/>
      <c r="Q25" s="19"/>
      <c r="R25" s="19"/>
      <c r="S25" s="19"/>
      <c r="T25" s="19"/>
      <c r="U25" s="19"/>
      <c r="V25" s="19"/>
      <c r="W25" s="19"/>
      <c r="X25" s="19"/>
      <c r="Y25" s="19"/>
    </row>
    <row r="26" spans="2:25" ht="18.149999999999999" customHeight="1">
      <c r="B26" s="70">
        <v>19</v>
      </c>
      <c r="C26" s="71" t="s">
        <v>505</v>
      </c>
      <c r="D26" s="72" t="s">
        <v>485</v>
      </c>
      <c r="E26" s="72" t="s">
        <v>73</v>
      </c>
      <c r="F26" s="158" t="s">
        <v>497</v>
      </c>
      <c r="G26" s="72" t="s">
        <v>524</v>
      </c>
      <c r="H26" s="132" t="s">
        <v>540</v>
      </c>
      <c r="I26" s="19"/>
      <c r="J26" s="19"/>
      <c r="K26" s="19"/>
      <c r="L26" s="19"/>
      <c r="M26" s="19"/>
      <c r="N26" s="19"/>
      <c r="O26" s="19"/>
      <c r="P26" s="19"/>
      <c r="Q26" s="19"/>
      <c r="R26" s="19"/>
      <c r="S26" s="19"/>
      <c r="T26" s="19"/>
      <c r="U26" s="19"/>
      <c r="V26" s="19"/>
      <c r="W26" s="19"/>
      <c r="X26" s="19"/>
      <c r="Y26" s="19"/>
    </row>
    <row r="27" spans="2:25" ht="18.149999999999999" customHeight="1">
      <c r="B27" s="70">
        <v>20</v>
      </c>
      <c r="C27" s="71" t="s">
        <v>504</v>
      </c>
      <c r="D27" s="72" t="s">
        <v>485</v>
      </c>
      <c r="E27" s="72" t="s">
        <v>76</v>
      </c>
      <c r="F27" s="158" t="s">
        <v>496</v>
      </c>
      <c r="G27" s="72" t="s">
        <v>523</v>
      </c>
      <c r="H27" s="132" t="s">
        <v>540</v>
      </c>
      <c r="I27" s="19"/>
      <c r="J27" s="19"/>
      <c r="K27" s="19"/>
      <c r="L27" s="19"/>
      <c r="M27" s="19"/>
      <c r="N27" s="19"/>
      <c r="O27" s="19"/>
      <c r="P27" s="19"/>
      <c r="Q27" s="19"/>
      <c r="R27" s="19"/>
      <c r="S27" s="19"/>
      <c r="T27" s="19"/>
      <c r="U27" s="19"/>
      <c r="V27" s="19"/>
      <c r="W27" s="19"/>
      <c r="X27" s="19"/>
      <c r="Y27" s="19"/>
    </row>
    <row r="28" spans="2:25" ht="18.149999999999999" customHeight="1">
      <c r="B28" s="70">
        <v>21</v>
      </c>
      <c r="C28" s="71" t="s">
        <v>543</v>
      </c>
      <c r="D28" s="72" t="s">
        <v>485</v>
      </c>
      <c r="E28" s="72" t="s">
        <v>72</v>
      </c>
      <c r="F28" s="158" t="s">
        <v>483</v>
      </c>
      <c r="G28" s="72" t="s">
        <v>545</v>
      </c>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310</v>
      </c>
      <c r="C45" s="75"/>
      <c r="D45" s="76">
        <f>COUNTA(F8:F42)</f>
        <v>21</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311</v>
      </c>
      <c r="C47" s="75"/>
      <c r="D47" s="76">
        <f>D45-D49</f>
        <v>19</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5"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49999999999999"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9" sqref="D39"/>
    </sheetView>
  </sheetViews>
  <sheetFormatPr baseColWidth="10" defaultColWidth="11.54296875" defaultRowHeight="12.5"/>
  <cols>
    <col min="1" max="1" width="6.36328125" style="113" customWidth="1"/>
    <col min="2" max="2" width="16.08984375" style="14" customWidth="1"/>
    <col min="3" max="3" width="64.08984375" style="14" customWidth="1"/>
    <col min="4" max="4" width="18.36328125" style="113" customWidth="1"/>
    <col min="5" max="5" width="6.3632812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5" customHeight="1">
      <c r="A3" s="23"/>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65"/>
      <c r="C6" s="165"/>
      <c r="D6" s="165"/>
      <c r="E6" s="166"/>
      <c r="F6" s="165"/>
      <c r="G6" s="165"/>
      <c r="H6" s="165"/>
      <c r="I6" s="165"/>
      <c r="J6" s="165"/>
      <c r="K6" s="165"/>
      <c r="L6" s="165"/>
      <c r="M6" s="165"/>
      <c r="N6" s="19"/>
      <c r="O6" s="19"/>
    </row>
    <row r="7" spans="1:64" ht="12.65" customHeight="1">
      <c r="B7" s="19"/>
      <c r="C7" s="19"/>
      <c r="D7" s="19"/>
      <c r="E7" s="107"/>
      <c r="F7" s="19"/>
      <c r="G7" s="19"/>
      <c r="H7" s="19"/>
      <c r="I7" s="19"/>
      <c r="J7" s="19"/>
      <c r="K7" s="19"/>
      <c r="L7" s="19"/>
      <c r="M7" s="19"/>
      <c r="N7" s="19"/>
      <c r="O7" s="19"/>
    </row>
    <row r="8" spans="1:64" ht="18.899999999999999" customHeight="1">
      <c r="B8" s="111" t="s">
        <v>371</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20</v>
      </c>
      <c r="H12" s="53">
        <f ca="1">IF(($G$15+$K$15)=0,0,G12/($G$15+$K$15))</f>
        <v>0.31746031746031744</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0</v>
      </c>
      <c r="H13" s="53">
        <f ca="1">IF(($G$15+$K$15)=0,0,G13/($G$15+$K$15))</f>
        <v>0</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43</v>
      </c>
      <c r="H14" s="53">
        <f ca="1">IF(($G$15+$K$15)=0,0,G14/($G$15+$K$15))</f>
        <v>0.68253968253968256</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63</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https://www.crtm.es/</v>
      </c>
      <c r="D19" s="130" t="s">
        <v>25</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Red de metro</v>
      </c>
      <c r="C20" s="220" t="str" cm="1">
        <f t="array" ref="C20">IFERROR(INDEX('03.Muestra'!$F$8:$F$42,SMALL(IF("Página Web"='03.Muestra'!$D$8:$D$42,ROW('03.Muestra'!$F$8:$F$42)-MIN(ROW('03.Muestra'!$D$8:$D$42))+1,""),ROW()-18)),"")</f>
        <v>https://www.crtm.es/tu-transporte-publico/metro/</v>
      </c>
      <c r="D20" s="130" t="s">
        <v>25</v>
      </c>
      <c r="E20" s="107" t="str">
        <f t="shared" si="0"/>
        <v/>
      </c>
      <c r="F20" s="120">
        <f ca="1">COUNTIF($D19:INDIRECT("$D" &amp;  SUM(ROW()-1,'03.Muestra'!$D$45)-1),F19)</f>
        <v>0</v>
      </c>
      <c r="G20" s="120">
        <f ca="1">COUNTIF($D19:INDIRECT("$D" &amp;  SUM(ROW()-1,'03.Muestra'!$D$45)-1),G19)</f>
        <v>0</v>
      </c>
      <c r="H20" s="120">
        <f ca="1">COUNTIF($D19:INDIRECT("$D" &amp;  SUM(ROW()-1,'03.Muestra'!$D$45)-1),H19)</f>
        <v>1</v>
      </c>
      <c r="I20" s="120">
        <f ca="1">COUNTIF($D19:INDIRECT("$D" &amp;  SUM(ROW()-1,'03.Muestra'!$D$45)-1),I19)</f>
        <v>0</v>
      </c>
      <c r="J20" s="120">
        <f ca="1">COUNTIF($D19:INDIRECT("$D" &amp;  SUM(ROW()-1,'03.Muestra'!$D$45)-1),J19)</f>
        <v>20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Líneas de metro</v>
      </c>
      <c r="C21" s="220" t="str" cm="1">
        <f t="array" ref="C21">IFERROR(INDEX('03.Muestra'!$F$8:$F$42,SMALL(IF("Página Web"='03.Muestra'!$D$8:$D$42,ROW('03.Muestra'!$F$8:$F$42)-MIN(ROW('03.Muestra'!$D$8:$D$42))+1,""),ROW()-18)),"")</f>
        <v>https://www.crtm.es/tu-transporte-publico/metro/lineas/4__1___</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Estaciones Aeropuerto T1-T2-T3</v>
      </c>
      <c r="C22" s="220" t="str" cm="1">
        <f t="array" ref="C22">IFERROR(INDEX('03.Muestra'!$F$8:$F$42,SMALL(IF("Página Web"='03.Muestra'!$D$8:$D$42,ROW('03.Muestra'!$F$8:$F$42)-MIN(ROW('03.Muestra'!$D$8:$D$42))+1,""),ROW()-18)),"")</f>
        <v>https://www.crtm.es/tu-transporte-publico/metro/estaciones/4_159</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Muévete por Madrid</v>
      </c>
      <c r="C23" s="220" t="str" cm="1">
        <f t="array" ref="C23">IFERROR(INDEX('03.Muestra'!$F$8:$F$42,SMALL(IF("Página Web"='03.Muestra'!$D$8:$D$42,ROW('03.Muestra'!$F$8:$F$42)-MIN(ROW('03.Muestra'!$D$8:$D$42))+1,""),ROW()-18)),"")</f>
        <v>https://www.crtm.es/muevete-por-madrid/</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conexiones con aeropuerto y principales estaciones</v>
      </c>
      <c r="C24" s="220" t="str" cm="1">
        <f t="array" ref="C24">IFERROR(INDEX('03.Muestra'!$F$8:$F$42,SMALL(IF("Página Web"='03.Muestra'!$D$8:$D$42,ROW('03.Muestra'!$F$8:$F$42)-MIN(ROW('03.Muestra'!$D$8:$D$42))+1,""),ROW()-18)),"")</f>
        <v xml:space="preserve">https://www.crtm.es/muevete-por-madrid/conexiones-con-aeropuerto-y-principales-estaciones/ </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Atención desplazados Ucranianos</v>
      </c>
      <c r="C25" s="220" t="str" cm="1">
        <f t="array" ref="C25">IFERROR(INDEX('03.Muestra'!$F$8:$F$42,SMALL(IF("Página Web"='03.Muestra'!$D$8:$D$42,ROW('03.Muestra'!$F$8:$F$42)-MIN(ROW('03.Muestra'!$D$8:$D$42))+1,""),ROW()-18)),"")</f>
        <v>https://www.crtm.es/atencion-desplazados-ucranianos/#item3</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Preguntas frecuentes (Tarjeta transporte público personal)</v>
      </c>
      <c r="C26" s="220" t="str" cm="1">
        <f t="array" ref="C26">IFERROR(INDEX('03.Muestra'!$F$8:$F$42,SMALL(IF("Página Web"='03.Muestra'!$D$8:$D$42,ROW('03.Muestra'!$F$8:$F$42)-MIN(ROW('03.Muestra'!$D$8:$D$42))+1,""),ROW()-18)),"")</f>
        <v xml:space="preserve"> https://www.crtm.es/billetes-y-tarifas/tarjeta-transporte-publico/preguntas-frecuentes/#item23</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Billetes y abonos (Metro)</v>
      </c>
      <c r="C27" s="220" t="str" cm="1">
        <f t="array" ref="C27">IFERROR(INDEX('03.Muestra'!$F$8:$F$42,SMALL(IF("Página Web"='03.Muestra'!$D$8:$D$42,ROW('03.Muestra'!$F$8:$F$42)-MIN(ROW('03.Muestra'!$D$8:$D$42))+1,""),ROW()-18)),"")</f>
        <v>https://www.crtm.es/billetes-y-tarifas/billetes-y-abonos/metro/?idPestana=1&amp;lang=#item10</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Billetes y tarifas (App)</v>
      </c>
      <c r="C28" s="220" t="str" cm="1">
        <f t="array" ref="C28">IFERROR(INDEX('03.Muestra'!$F$8:$F$42,SMALL(IF("Página Web"='03.Muestra'!$D$8:$D$42,ROW('03.Muestra'!$F$8:$F$42)-MIN(ROW('03.Muestra'!$D$8:$D$42))+1,""),ROW()-18)),"")</f>
        <v>https://www.crtm.es/billetes-y-tarifas/apps/</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Atención al cliente</v>
      </c>
      <c r="C29" s="220" t="str" cm="1">
        <f t="array" ref="C29">IFERROR(INDEX('03.Muestra'!$F$8:$F$42,SMALL(IF("Página Web"='03.Muestra'!$D$8:$D$42,ROW('03.Muestra'!$F$8:$F$42)-MIN(ROW('03.Muestra'!$D$8:$D$42))+1,""),ROW()-18)),"")</f>
        <v>https://www.crtm.es/atencion-al-cliente/</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Conócenos</v>
      </c>
      <c r="C30" s="220" t="str" cm="1">
        <f t="array" ref="C30">IFERROR(INDEX('03.Muestra'!$F$8:$F$42,SMALL(IF("Página Web"='03.Muestra'!$D$8:$D$42,ROW('03.Muestra'!$F$8:$F$42)-MIN(ROW('03.Muestra'!$D$8:$D$42))+1,""),ROW()-18)),"")</f>
        <v>https://www.crtm.es/conocenos/#CentrodeDocumentacion</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Actualidad del servicio</v>
      </c>
      <c r="C31" s="220" t="str" cm="1">
        <f t="array" ref="C31">IFERROR(INDEX('03.Muestra'!$F$8:$F$42,SMALL(IF("Página Web"='03.Muestra'!$D$8:$D$42,ROW('03.Muestra'!$F$8:$F$42)-MIN(ROW('03.Muestra'!$D$8:$D$42))+1,""),ROW()-18)),"")</f>
        <v>https://www.crtm.es/comunicacion/actualidad-del-servicio/?idPestana=1&amp;lang=es</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Galería de fotos</v>
      </c>
      <c r="C32" s="220" t="str" cm="1">
        <f t="array" ref="C32">IFERROR(INDEX('03.Muestra'!$F$8:$F$42,SMALL(IF("Página Web"='03.Muestra'!$D$8:$D$42,ROW('03.Muestra'!$F$8:$F$42)-MIN(ROW('03.Muestra'!$D$8:$D$42))+1,""),ROW()-18)),"")</f>
        <v>https://www.crtm.es/comunicacion/multimedia/galeria-de-fotos/</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Mapa web</v>
      </c>
      <c r="C33" s="220" t="str" cm="1">
        <f t="array" ref="C33">IFERROR(INDEX('03.Muestra'!$F$8:$F$42,SMALL(IF("Página Web"='03.Muestra'!$D$8:$D$42,ROW('03.Muestra'!$F$8:$F$42)-MIN(ROW('03.Muestra'!$D$8:$D$42))+1,""),ROW()-18)),"")</f>
        <v>https://www.crtm.es/mapa-web</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Protección de datos</v>
      </c>
      <c r="C34" s="220" t="str" cm="1">
        <f t="array" ref="C34">IFERROR(INDEX('03.Muestra'!$F$8:$F$42,SMALL(IF("Página Web"='03.Muestra'!$D$8:$D$42,ROW('03.Muestra'!$F$8:$F$42)-MIN(ROW('03.Muestra'!$D$8:$D$42))+1,""),ROW()-18)),"")</f>
        <v>https://www.crtm.es/proteccion-de-datos</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Política de cookies</v>
      </c>
      <c r="C35" s="220" t="str" cm="1">
        <f t="array" ref="C35">IFERROR(INDEX('03.Muestra'!$F$8:$F$42,SMALL(IF("Página Web"='03.Muestra'!$D$8:$D$42,ROW('03.Muestra'!$F$8:$F$42)-MIN(ROW('03.Muestra'!$D$8:$D$42))+1,""),ROW()-18)),"")</f>
        <v>https://www.crtm.es/politica-de-cookies</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220" t="str" cm="1">
        <f t="array" ref="B36">IFERROR(INDEX('03.Muestra'!$C$8:$C$42,SMALL(IF("Página Web"='03.Muestra'!$D$8:$D$42,ROW('03.Muestra'!$C$8:$C$42)-MIN(ROW('03.Muestra'!$D$8:$D$42))+1,""),ROW()-18)),"")</f>
        <v>Aviso Legal</v>
      </c>
      <c r="C36" s="220" t="str" cm="1">
        <f t="array" ref="C36">IFERROR(INDEX('03.Muestra'!$F$8:$F$42,SMALL(IF("Página Web"='03.Muestra'!$D$8:$D$42,ROW('03.Muestra'!$F$8:$F$42)-MIN(ROW('03.Muestra'!$D$8:$D$42))+1,""),ROW()-18)),"")</f>
        <v>https://www.crtm.es/aviso-legal</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220" t="str" cm="1">
        <f t="array" ref="B37">IFERROR(INDEX('03.Muestra'!$C$8:$C$42,SMALL(IF("Página Web"='03.Muestra'!$D$8:$D$42,ROW('03.Muestra'!$C$8:$C$42)-MIN(ROW('03.Muestra'!$D$8:$D$42))+1,""),ROW()-18)),"")</f>
        <v>Normativa</v>
      </c>
      <c r="C37" s="220" t="str" cm="1">
        <f t="array" ref="C37">IFERROR(INDEX('03.Muestra'!$F$8:$F$42,SMALL(IF("Página Web"='03.Muestra'!$D$8:$D$42,ROW('03.Muestra'!$F$8:$F$42)-MIN(ROW('03.Muestra'!$D$8:$D$42))+1,""),ROW()-18)),"")</f>
        <v>https://www.crtm.es/normativa</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220" t="str" cm="1">
        <f t="array" ref="B38">IFERROR(INDEX('03.Muestra'!$C$8:$C$42,SMALL(IF("Página Web"='03.Muestra'!$D$8:$D$42,ROW('03.Muestra'!$C$8:$C$42)-MIN(ROW('03.Muestra'!$D$8:$D$42))+1,""),ROW()-18)),"")</f>
        <v>Accesibilidad</v>
      </c>
      <c r="C38" s="220" t="str" cm="1">
        <f t="array" ref="C38">IFERROR(INDEX('03.Muestra'!$F$8:$F$42,SMALL(IF("Página Web"='03.Muestra'!$D$8:$D$42,ROW('03.Muestra'!$F$8:$F$42)-MIN(ROW('03.Muestra'!$D$8:$D$42))+1,""),ROW()-18)),"")</f>
        <v>https://www.crtm.es/accesibilidad</v>
      </c>
      <c r="D38" s="130" t="s">
        <v>25</v>
      </c>
      <c r="E38" s="107" t="str">
        <f t="shared" si="0"/>
        <v/>
      </c>
      <c r="F38" s="19"/>
      <c r="G38" s="19"/>
      <c r="H38" s="19"/>
      <c r="I38" s="19"/>
      <c r="J38" s="19"/>
      <c r="K38" s="19"/>
      <c r="L38" s="19"/>
      <c r="Q38" s="19"/>
      <c r="W38" s="19"/>
      <c r="X38" s="19"/>
      <c r="Y38" s="19"/>
    </row>
    <row r="39" spans="1:25" ht="12" customHeight="1">
      <c r="A39" s="219" cm="1">
        <f t="array" ref="A39">IFERROR(INDEX('03.Muestra'!$B$8:$B$42,SMALL(IF("Página Web"='03.Muestra'!$D$8:$D$42,ROW('03.Muestra'!$B$8:$B$42)-MIN(ROW('03.Muestra'!$D$8:$D$42))+1,""),ROW()-18)),"")</f>
        <v>21</v>
      </c>
      <c r="B39" s="220" t="str" cm="1">
        <f t="array" ref="B39">IFERROR(INDEX('03.Muestra'!$C$8:$C$42,SMALL(IF("Página Web"='03.Muestra'!$D$8:$D$42,ROW('03.Muestra'!$C$8:$C$42)-MIN(ROW('03.Muestra'!$D$8:$D$42))+1,""),ROW()-18)),"")</f>
        <v>Modo accesible</v>
      </c>
      <c r="C39" s="220" t="str" cm="1">
        <f t="array" ref="C39">IFERROR(INDEX('03.Muestra'!$F$8:$F$42,SMALL(IF("Página Web"='03.Muestra'!$D$8:$D$42,ROW('03.Muestra'!$F$8:$F$42)-MIN(ROW('03.Muestra'!$D$8:$D$42))+1,""),ROW()-18)),"")</f>
        <v>https://www.crtm.es/</v>
      </c>
      <c r="D39" s="130" t="s">
        <v>34</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Red de metro</v>
      </c>
      <c r="C58" s="221"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21</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Líneas de metro</v>
      </c>
      <c r="C59" s="221"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Estaciones Aeropuerto T1-T2-T3</v>
      </c>
      <c r="C60" s="221"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Muévete por Madrid</v>
      </c>
      <c r="C61" s="221" t="str" cm="1">
        <f t="array" ref="C61">IFERROR(INDEX('03.Muestra'!$F$8:$F$42,SMALL(IF("Página Web"='03.Muestra'!$D$8:$D$42,ROW('03.Muestra'!$F$8:$F$42)-MIN(ROW('03.Muestra'!$D$8:$D$42))+1,""),ROW()-56)),"")</f>
        <v>https://www.crtm.es/muevete-por-madrid/</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conexiones con aeropuerto y principales estaciones</v>
      </c>
      <c r="C62" s="221"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Atención desplazados Ucranianos</v>
      </c>
      <c r="C63" s="221"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Preguntas frecuentes (Tarjeta transporte público personal)</v>
      </c>
      <c r="C64" s="221"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Billetes y abonos (Metro)</v>
      </c>
      <c r="C65" s="221"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Billetes y tarifas (App)</v>
      </c>
      <c r="C66" s="221"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Atención al cliente</v>
      </c>
      <c r="C67" s="221"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Conócenos</v>
      </c>
      <c r="C68" s="221"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Actualidad del servicio</v>
      </c>
      <c r="C69" s="221"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Galería de fotos</v>
      </c>
      <c r="C70" s="221"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Mapa web</v>
      </c>
      <c r="C71" s="221" t="str" cm="1">
        <f t="array" ref="C71">IFERROR(INDEX('03.Muestra'!$F$8:$F$42,SMALL(IF("Página Web"='03.Muestra'!$D$8:$D$42,ROW('03.Muestra'!$F$8:$F$42)-MIN(ROW('03.Muestra'!$D$8:$D$42))+1,""),ROW()-56)),"")</f>
        <v>https://www.crtm.es/mapa-web</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Protección de datos</v>
      </c>
      <c r="C72" s="221"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Política de cookies</v>
      </c>
      <c r="C73" s="221"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cm="1">
        <f t="array" ref="A74">IFERROR(INDEX('03.Muestra'!$B$8:$B$42,SMALL(IF("Página Web"='03.Muestra'!$D$8:$D$42,ROW('03.Muestra'!$B$8:$B$42)-MIN(ROW('03.Muestra'!$D$8:$D$42))+1,""),ROW()-56)),"")</f>
        <v>18</v>
      </c>
      <c r="B74" s="221" t="str" cm="1">
        <f t="array" ref="B74">IFERROR(INDEX('03.Muestra'!$C$8:$C$42,SMALL(IF("Página Web"='03.Muestra'!$D$8:$D$42,ROW('03.Muestra'!$C$8:$C$42)-MIN(ROW('03.Muestra'!$D$8:$D$42))+1,""),ROW()-56)),"")</f>
        <v>Aviso Legal</v>
      </c>
      <c r="C74" s="221" t="str" cm="1">
        <f t="array" ref="C74">IFERROR(INDEX('03.Muestra'!$F$8:$F$42,SMALL(IF("Página Web"='03.Muestra'!$D$8:$D$42,ROW('03.Muestra'!$F$8:$F$42)-MIN(ROW('03.Muestra'!$D$8:$D$42))+1,""),ROW()-56)),"")</f>
        <v>https://www.crtm.es/aviso-legal</v>
      </c>
      <c r="D74" s="130" t="s">
        <v>34</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cm="1">
        <f t="array" ref="A75">IFERROR(INDEX('03.Muestra'!$B$8:$B$42,SMALL(IF("Página Web"='03.Muestra'!$D$8:$D$42,ROW('03.Muestra'!$B$8:$B$42)-MIN(ROW('03.Muestra'!$D$8:$D$42))+1,""),ROW()-56)),"")</f>
        <v>19</v>
      </c>
      <c r="B75" s="221" t="str" cm="1">
        <f t="array" ref="B75">IFERROR(INDEX('03.Muestra'!$C$8:$C$42,SMALL(IF("Página Web"='03.Muestra'!$D$8:$D$42,ROW('03.Muestra'!$C$8:$C$42)-MIN(ROW('03.Muestra'!$D$8:$D$42))+1,""),ROW()-56)),"")</f>
        <v>Normativa</v>
      </c>
      <c r="C75" s="221" t="str" cm="1">
        <f t="array" ref="C75">IFERROR(INDEX('03.Muestra'!$F$8:$F$42,SMALL(IF("Página Web"='03.Muestra'!$D$8:$D$42,ROW('03.Muestra'!$F$8:$F$42)-MIN(ROW('03.Muestra'!$D$8:$D$42))+1,""),ROW()-56)),"")</f>
        <v>https://www.crtm.es/normativa</v>
      </c>
      <c r="D75" s="130" t="s">
        <v>34</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cm="1">
        <f t="array" ref="A76">IFERROR(INDEX('03.Muestra'!$B$8:$B$42,SMALL(IF("Página Web"='03.Muestra'!$D$8:$D$42,ROW('03.Muestra'!$B$8:$B$42)-MIN(ROW('03.Muestra'!$D$8:$D$42))+1,""),ROW()-56)),"")</f>
        <v>20</v>
      </c>
      <c r="B76" s="221" t="str" cm="1">
        <f t="array" ref="B76">IFERROR(INDEX('03.Muestra'!$C$8:$C$42,SMALL(IF("Página Web"='03.Muestra'!$D$8:$D$42,ROW('03.Muestra'!$C$8:$C$42)-MIN(ROW('03.Muestra'!$D$8:$D$42))+1,""),ROW()-56)),"")</f>
        <v>Accesibilidad</v>
      </c>
      <c r="C76" s="221" t="str" cm="1">
        <f t="array" ref="C76">IFERROR(INDEX('03.Muestra'!$F$8:$F$42,SMALL(IF("Página Web"='03.Muestra'!$D$8:$D$42,ROW('03.Muestra'!$F$8:$F$42)-MIN(ROW('03.Muestra'!$D$8:$D$42))+1,""),ROW()-56)),"")</f>
        <v>https://www.crtm.es/accesibilidad</v>
      </c>
      <c r="D76" s="130" t="s">
        <v>34</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cm="1">
        <f t="array" ref="A77">IFERROR(INDEX('03.Muestra'!$B$8:$B$42,SMALL(IF("Página Web"='03.Muestra'!$D$8:$D$42,ROW('03.Muestra'!$B$8:$B$42)-MIN(ROW('03.Muestra'!$D$8:$D$42))+1,""),ROW()-56)),"")</f>
        <v>21</v>
      </c>
      <c r="B77" s="221" t="str" cm="1">
        <f t="array" ref="B77">IFERROR(INDEX('03.Muestra'!$C$8:$C$42,SMALL(IF("Página Web"='03.Muestra'!$D$8:$D$42,ROW('03.Muestra'!$C$8:$C$42)-MIN(ROW('03.Muestra'!$D$8:$D$42))+1,""),ROW()-56)),"")</f>
        <v>Modo accesible</v>
      </c>
      <c r="C77" s="221" t="str" cm="1">
        <f t="array" ref="C77">IFERROR(INDEX('03.Muestra'!$F$8:$F$42,SMALL(IF("Página Web"='03.Muestra'!$D$8:$D$42,ROW('03.Muestra'!$F$8:$F$42)-MIN(ROW('03.Muestra'!$D$8:$D$42))+1,""),ROW()-56)),"")</f>
        <v>https://www.crtm.es/</v>
      </c>
      <c r="D77" s="130" t="s">
        <v>34</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Red de metro</v>
      </c>
      <c r="C96" s="221"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21</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Líneas de metro</v>
      </c>
      <c r="C97" s="221"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Estaciones Aeropuerto T1-T2-T3</v>
      </c>
      <c r="C98" s="221"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Muévete por Madrid</v>
      </c>
      <c r="C99" s="221" t="str" cm="1">
        <f t="array" ref="C99">IFERROR(INDEX('03.Muestra'!$F$8:$F$42,SMALL(IF("Página Web"='03.Muestra'!$D$8:$D$42,ROW('03.Muestra'!$F$8:$F$42)-MIN(ROW('03.Muestra'!$D$8:$D$42))+1,""),ROW()-94)),"")</f>
        <v>https://www.crtm.es/muevete-por-madrid/</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conexiones con aeropuerto y principales estaciones</v>
      </c>
      <c r="C100" s="221"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Atención desplazados Ucranianos</v>
      </c>
      <c r="C101" s="221"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Preguntas frecuentes (Tarjeta transporte público personal)</v>
      </c>
      <c r="C102" s="221"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Billetes y abonos (Metro)</v>
      </c>
      <c r="C103" s="221"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Billetes y tarifas (App)</v>
      </c>
      <c r="C104" s="221"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Atención al cliente</v>
      </c>
      <c r="C105" s="221"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Conócenos</v>
      </c>
      <c r="C106" s="221"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5"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Actualidad del servicio</v>
      </c>
      <c r="C107" s="221"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5"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Galería de fotos</v>
      </c>
      <c r="C108" s="221"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5"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Mapa web</v>
      </c>
      <c r="C109" s="221"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5"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Protección de datos</v>
      </c>
      <c r="C110" s="221"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5"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Política de cookies</v>
      </c>
      <c r="C111" s="221"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5" customHeight="1">
      <c r="A112" s="222" cm="1">
        <f t="array" ref="A112">IFERROR(INDEX('03.Muestra'!$B$8:$B$42,SMALL(IF("Página Web"='03.Muestra'!$D$8:$D$42,ROW('03.Muestra'!$B$8:$B$42)-MIN(ROW('03.Muestra'!$D$8:$D$42))+1,""),ROW()-94)),"")</f>
        <v>18</v>
      </c>
      <c r="B112" s="221" t="str" cm="1">
        <f t="array" ref="B112">IFERROR(INDEX('03.Muestra'!$C$8:$C$42,SMALL(IF("Página Web"='03.Muestra'!$D$8:$D$42,ROW('03.Muestra'!$C$8:$C$42)-MIN(ROW('03.Muestra'!$D$8:$D$42))+1,""),ROW()-94)),"")</f>
        <v>Aviso Legal</v>
      </c>
      <c r="C112" s="221"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5" customHeight="1">
      <c r="A113" s="222" cm="1">
        <f t="array" ref="A113">IFERROR(INDEX('03.Muestra'!$B$8:$B$42,SMALL(IF("Página Web"='03.Muestra'!$D$8:$D$42,ROW('03.Muestra'!$B$8:$B$42)-MIN(ROW('03.Muestra'!$D$8:$D$42))+1,""),ROW()-94)),"")</f>
        <v>19</v>
      </c>
      <c r="B113" s="221" t="str" cm="1">
        <f t="array" ref="B113">IFERROR(INDEX('03.Muestra'!$C$8:$C$42,SMALL(IF("Página Web"='03.Muestra'!$D$8:$D$42,ROW('03.Muestra'!$C$8:$C$42)-MIN(ROW('03.Muestra'!$D$8:$D$42))+1,""),ROW()-94)),"")</f>
        <v>Normativa</v>
      </c>
      <c r="C113" s="221"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5" customHeight="1">
      <c r="A114" s="222" cm="1">
        <f t="array" ref="A114">IFERROR(INDEX('03.Muestra'!$B$8:$B$42,SMALL(IF("Página Web"='03.Muestra'!$D$8:$D$42,ROW('03.Muestra'!$B$8:$B$42)-MIN(ROW('03.Muestra'!$D$8:$D$42))+1,""),ROW()-94)),"")</f>
        <v>20</v>
      </c>
      <c r="B114" s="221" t="str" cm="1">
        <f t="array" ref="B114">IFERROR(INDEX('03.Muestra'!$C$8:$C$42,SMALL(IF("Página Web"='03.Muestra'!$D$8:$D$42,ROW('03.Muestra'!$C$8:$C$42)-MIN(ROW('03.Muestra'!$D$8:$D$42))+1,""),ROW()-94)),"")</f>
        <v>Accesibilidad</v>
      </c>
      <c r="C114" s="221" t="str" cm="1">
        <f t="array" ref="C114">IFERROR(INDEX('03.Muestra'!$F$8:$F$42,SMALL(IF("Página Web"='03.Muestra'!$D$8:$D$42,ROW('03.Muestra'!$F$8:$F$42)-MIN(ROW('03.Muestra'!$D$8:$D$42))+1,""),ROW()-94)),"")</f>
        <v>https://www.crtm.es/accesibilidad</v>
      </c>
      <c r="D114" s="130" t="s">
        <v>34</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5" customHeight="1">
      <c r="A115" s="222" cm="1">
        <f t="array" ref="A115">IFERROR(INDEX('03.Muestra'!$B$8:$B$42,SMALL(IF("Página Web"='03.Muestra'!$D$8:$D$42,ROW('03.Muestra'!$B$8:$B$42)-MIN(ROW('03.Muestra'!$D$8:$D$42))+1,""),ROW()-94)),"")</f>
        <v>21</v>
      </c>
      <c r="B115" s="221" t="str" cm="1">
        <f t="array" ref="B115">IFERROR(INDEX('03.Muestra'!$C$8:$C$42,SMALL(IF("Página Web"='03.Muestra'!$D$8:$D$42,ROW('03.Muestra'!$C$8:$C$42)-MIN(ROW('03.Muestra'!$D$8:$D$42))+1,""),ROW()-94)),"")</f>
        <v>Modo accesible</v>
      </c>
      <c r="C115" s="221" t="str" cm="1">
        <f t="array" ref="C115">IFERROR(INDEX('03.Muestra'!$F$8:$F$42,SMALL(IF("Página Web"='03.Muestra'!$D$8:$D$42,ROW('03.Muestra'!$F$8:$F$42)-MIN(ROW('03.Muestra'!$D$8:$D$42))+1,""),ROW()-94)),"")</f>
        <v>https://www.crtm.es/</v>
      </c>
      <c r="D115" s="130" t="s">
        <v>34</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5"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5"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305" sqref="D305"/>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357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54"/>
      <c r="C6" s="154"/>
      <c r="D6" s="154"/>
      <c r="E6" s="155"/>
      <c r="F6" s="154"/>
      <c r="G6" s="154"/>
      <c r="H6" s="154"/>
      <c r="I6" s="154"/>
      <c r="J6" s="154"/>
      <c r="K6" s="154"/>
      <c r="L6" s="154"/>
      <c r="M6" s="154"/>
      <c r="N6" s="19"/>
      <c r="O6" s="19"/>
    </row>
    <row r="7" spans="1:64" ht="12.65"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399</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399</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https://www.crtm.es/</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Red de metro</v>
      </c>
      <c r="C20" s="114" t="str" cm="1">
        <f t="array" ref="C20">IFERROR(INDEX('03.Muestra'!$F$8:$F$42,SMALL(IF("Página Web"='03.Muestra'!$D$8:$D$42,ROW('03.Muestra'!$F$8:$F$42)-MIN(ROW('03.Muestra'!$D$8:$D$42))+1,""),ROW()-18)),"")</f>
        <v>https://www.crtm.es/tu-transporte-publico/metro/</v>
      </c>
      <c r="D20" s="130" t="s">
        <v>34</v>
      </c>
      <c r="E20" s="107" t="str">
        <f t="shared" si="0"/>
        <v/>
      </c>
      <c r="F20" s="120">
        <f ca="1">COUNTIF($D19:INDIRECT("$D" &amp;  SUM(ROW()-1,'03.Muestra'!$D$45)-1),F19)</f>
        <v>0</v>
      </c>
      <c r="G20" s="120">
        <f ca="1">COUNTIF($D19:INDIRECT("$D" &amp;  SUM(ROW()-1,'03.Muestra'!$D$45)-1),G19)</f>
        <v>0</v>
      </c>
      <c r="H20" s="120">
        <f ca="1">COUNTIF($D19:INDIRECT("$D" &amp;  SUM(ROW()-1,'03.Muestra'!$D$45)-1),H19)</f>
        <v>21</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Líneas de metro</v>
      </c>
      <c r="C21" s="114" t="str" cm="1">
        <f t="array" ref="C21">IFERROR(INDEX('03.Muestra'!$F$8:$F$42,SMALL(IF("Página Web"='03.Muestra'!$D$8:$D$42,ROW('03.Muestra'!$F$8:$F$42)-MIN(ROW('03.Muestra'!$D$8:$D$42))+1,""),ROW()-18)),"")</f>
        <v>https://www.crtm.es/tu-transporte-publico/metro/lineas/4__1___</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Estaciones Aeropuerto T1-T2-T3</v>
      </c>
      <c r="C22" s="114" t="str" cm="1">
        <f t="array" ref="C22">IFERROR(INDEX('03.Muestra'!$F$8:$F$42,SMALL(IF("Página Web"='03.Muestra'!$D$8:$D$42,ROW('03.Muestra'!$F$8:$F$42)-MIN(ROW('03.Muestra'!$D$8:$D$42))+1,""),ROW()-18)),"")</f>
        <v>https://www.crtm.es/tu-transporte-publico/metro/estaciones/4_159</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Muévete por Madrid</v>
      </c>
      <c r="C23" s="114" t="str" cm="1">
        <f t="array" ref="C23">IFERROR(INDEX('03.Muestra'!$F$8:$F$42,SMALL(IF("Página Web"='03.Muestra'!$D$8:$D$42,ROW('03.Muestra'!$F$8:$F$42)-MIN(ROW('03.Muestra'!$D$8:$D$42))+1,""),ROW()-18)),"")</f>
        <v>https://www.crtm.es/muevete-por-madrid/</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conexiones con aeropuerto y principales estaciones</v>
      </c>
      <c r="C24" s="114" t="str" cm="1">
        <f t="array" ref="C24">IFERROR(INDEX('03.Muestra'!$F$8:$F$42,SMALL(IF("Página Web"='03.Muestra'!$D$8:$D$42,ROW('03.Muestra'!$F$8:$F$42)-MIN(ROW('03.Muestra'!$D$8:$D$42))+1,""),ROW()-18)),"")</f>
        <v xml:space="preserve">https://www.crtm.es/muevete-por-madrid/conexiones-con-aeropuerto-y-principales-estaciones/ </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desplazados Ucranianos</v>
      </c>
      <c r="C25" s="114" t="str" cm="1">
        <f t="array" ref="C25">IFERROR(INDEX('03.Muestra'!$F$8:$F$42,SMALL(IF("Página Web"='03.Muestra'!$D$8:$D$42,ROW('03.Muestra'!$F$8:$F$42)-MIN(ROW('03.Muestra'!$D$8:$D$42))+1,""),ROW()-18)),"")</f>
        <v>https://www.crtm.es/atencion-desplazados-ucranianos/#item3</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Preguntas frecuentes (Tarjeta transporte público personal)</v>
      </c>
      <c r="C26" s="114" t="str" cm="1">
        <f t="array" ref="C26">IFERROR(INDEX('03.Muestra'!$F$8:$F$42,SMALL(IF("Página Web"='03.Muestra'!$D$8:$D$42,ROW('03.Muestra'!$F$8:$F$42)-MIN(ROW('03.Muestra'!$D$8:$D$42))+1,""),ROW()-18)),"")</f>
        <v xml:space="preserve"> https://www.crtm.es/billetes-y-tarifas/tarjeta-transporte-publico/preguntas-frecuentes/#item23</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Billetes y abonos (Metro)</v>
      </c>
      <c r="C27" s="114" t="str" cm="1">
        <f t="array" ref="C27">IFERROR(INDEX('03.Muestra'!$F$8:$F$42,SMALL(IF("Página Web"='03.Muestra'!$D$8:$D$42,ROW('03.Muestra'!$F$8:$F$42)-MIN(ROW('03.Muestra'!$D$8:$D$42))+1,""),ROW()-18)),"")</f>
        <v>https://www.crtm.es/billetes-y-tarifas/billetes-y-abonos/metro/?idPestana=1&amp;lang=#item10</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Billetes y tarifas (App)</v>
      </c>
      <c r="C28" s="114" t="str" cm="1">
        <f t="array" ref="C28">IFERROR(INDEX('03.Muestra'!$F$8:$F$42,SMALL(IF("Página Web"='03.Muestra'!$D$8:$D$42,ROW('03.Muestra'!$F$8:$F$42)-MIN(ROW('03.Muestra'!$D$8:$D$42))+1,""),ROW()-18)),"")</f>
        <v>https://www.crtm.es/billetes-y-tarifas/apps/</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Atención al cliente</v>
      </c>
      <c r="C29" s="114" t="str" cm="1">
        <f t="array" ref="C29">IFERROR(INDEX('03.Muestra'!$F$8:$F$42,SMALL(IF("Página Web"='03.Muestra'!$D$8:$D$42,ROW('03.Muestra'!$F$8:$F$42)-MIN(ROW('03.Muestra'!$D$8:$D$42))+1,""),ROW()-18)),"")</f>
        <v>https://www.crtm.es/atencion-al-cliente/</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Conócenos</v>
      </c>
      <c r="C30" s="114" t="str" cm="1">
        <f t="array" ref="C30">IFERROR(INDEX('03.Muestra'!$F$8:$F$42,SMALL(IF("Página Web"='03.Muestra'!$D$8:$D$42,ROW('03.Muestra'!$F$8:$F$42)-MIN(ROW('03.Muestra'!$D$8:$D$42))+1,""),ROW()-18)),"")</f>
        <v>https://www.crtm.es/conocenos/#CentrodeDocumentacion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Actualidad del servicio</v>
      </c>
      <c r="C31" s="114" t="str" cm="1">
        <f t="array" ref="C31">IFERROR(INDEX('03.Muestra'!$F$8:$F$42,SMALL(IF("Página Web"='03.Muestra'!$D$8:$D$42,ROW('03.Muestra'!$F$8:$F$42)-MIN(ROW('03.Muestra'!$D$8:$D$42))+1,""),ROW()-18)),"")</f>
        <v>https://www.crtm.es/comunicacion/actualidad-del-servicio/?idPestana=1&amp;lang=es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Galería de fotos</v>
      </c>
      <c r="C32" s="114" t="str" cm="1">
        <f t="array" ref="C32">IFERROR(INDEX('03.Muestra'!$F$8:$F$42,SMALL(IF("Página Web"='03.Muestra'!$D$8:$D$42,ROW('03.Muestra'!$F$8:$F$42)-MIN(ROW('03.Muestra'!$D$8:$D$42))+1,""),ROW()-18)),"")</f>
        <v>https://www.crtm.es/comunicacion/multimedia/galeria-de-fotos/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https://www.crtm.es/mapa-web</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Protección de datos</v>
      </c>
      <c r="C34" s="114" t="str" cm="1">
        <f t="array" ref="C34">IFERROR(INDEX('03.Muestra'!$F$8:$F$42,SMALL(IF("Página Web"='03.Muestra'!$D$8:$D$42,ROW('03.Muestra'!$F$8:$F$42)-MIN(ROW('03.Muestra'!$D$8:$D$42))+1,""),ROW()-18)),"")</f>
        <v>https://www.crtm.es/proteccion-de-datos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Política de cookies</v>
      </c>
      <c r="C35" s="114" t="str" cm="1">
        <f t="array" ref="C35">IFERROR(INDEX('03.Muestra'!$F$8:$F$42,SMALL(IF("Página Web"='03.Muestra'!$D$8:$D$42,ROW('03.Muestra'!$F$8:$F$42)-MIN(ROW('03.Muestra'!$D$8:$D$42))+1,""),ROW()-18)),"")</f>
        <v>https://www.crtm.es/politica-de-cookies</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Aviso Legal</v>
      </c>
      <c r="C36" s="114" t="str" cm="1">
        <f t="array" ref="C36">IFERROR(INDEX('03.Muestra'!$F$8:$F$42,SMALL(IF("Página Web"='03.Muestra'!$D$8:$D$42,ROW('03.Muestra'!$F$8:$F$42)-MIN(ROW('03.Muestra'!$D$8:$D$42))+1,""),ROW()-18)),"")</f>
        <v>https://www.crtm.es/aviso-legal</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Normativa</v>
      </c>
      <c r="C37" s="114" t="str" cm="1">
        <f t="array" ref="C37">IFERROR(INDEX('03.Muestra'!$F$8:$F$42,SMALL(IF("Página Web"='03.Muestra'!$D$8:$D$42,ROW('03.Muestra'!$F$8:$F$42)-MIN(ROW('03.Muestra'!$D$8:$D$42))+1,""),ROW()-18)),"")</f>
        <v>https://www.crtm.es/normativa</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Accesibilidad</v>
      </c>
      <c r="C38" s="114" t="str" cm="1">
        <f t="array" ref="C38">IFERROR(INDEX('03.Muestra'!$F$8:$F$42,SMALL(IF("Página Web"='03.Muestra'!$D$8:$D$42,ROW('03.Muestra'!$F$8:$F$42)-MIN(ROW('03.Muestra'!$D$8:$D$42))+1,""),ROW()-18)),"")</f>
        <v>https://www.crtm.es/accesibilidad</v>
      </c>
      <c r="D38" s="130" t="s">
        <v>34</v>
      </c>
      <c r="E38" s="107" t="str">
        <f t="shared" si="0"/>
        <v/>
      </c>
      <c r="F38" s="19"/>
      <c r="G38" s="19"/>
      <c r="H38" s="19"/>
      <c r="I38" s="19"/>
      <c r="J38" s="19"/>
      <c r="K38" s="19"/>
      <c r="L38" s="19"/>
      <c r="Q38" s="19"/>
      <c r="W38" s="19"/>
      <c r="X38" s="19"/>
      <c r="Y38" s="19"/>
    </row>
    <row r="39" spans="1:25" ht="12" customHeight="1">
      <c r="A39" s="219" cm="1">
        <f t="array" ref="A39">IFERROR(INDEX('03.Muestra'!$B$8:$B$42,SMALL(IF("Página Web"='03.Muestra'!$D$8:$D$42,ROW('03.Muestra'!$B$8:$B$42)-MIN(ROW('03.Muestra'!$D$8:$D$42))+1,""),ROW()-18)),"")</f>
        <v>21</v>
      </c>
      <c r="B39" s="114" t="str" cm="1">
        <f t="array" ref="B39">IFERROR(INDEX('03.Muestra'!$C$8:$C$42,SMALL(IF("Página Web"='03.Muestra'!$D$8:$D$42,ROW('03.Muestra'!$C$8:$C$42)-MIN(ROW('03.Muestra'!$D$8:$D$42))+1,""),ROW()-18)),"")</f>
        <v>Modo accesible</v>
      </c>
      <c r="C39" s="114" t="str" cm="1">
        <f t="array" ref="C39">IFERROR(INDEX('03.Muestra'!$F$8:$F$42,SMALL(IF("Página Web"='03.Muestra'!$D$8:$D$42,ROW('03.Muestra'!$F$8:$F$42)-MIN(ROW('03.Muestra'!$D$8:$D$42))+1,""),ROW()-18)),"")</f>
        <v>https://www.crtm.es/</v>
      </c>
      <c r="D39" s="130" t="s">
        <v>34</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Red de metro</v>
      </c>
      <c r="C58" s="114"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21</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Líneas de metro</v>
      </c>
      <c r="C59" s="114"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Estaciones Aeropuerto T1-T2-T3</v>
      </c>
      <c r="C60" s="114"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Muévete por Madrid</v>
      </c>
      <c r="C61" s="114" t="str" cm="1">
        <f t="array" ref="C61">IFERROR(INDEX('03.Muestra'!$F$8:$F$42,SMALL(IF("Página Web"='03.Muestra'!$D$8:$D$42,ROW('03.Muestra'!$F$8:$F$42)-MIN(ROW('03.Muestra'!$D$8:$D$42))+1,""),ROW()-56)),"")</f>
        <v>https://www.crtm.es/muevete-por-madrid/</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conexiones con aeropuerto y principales estaciones</v>
      </c>
      <c r="C62" s="114"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desplazados Ucranianos</v>
      </c>
      <c r="C63" s="114"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Preguntas frecuentes (Tarjeta transporte público personal)</v>
      </c>
      <c r="C64" s="114"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Billetes y abonos (Metro)</v>
      </c>
      <c r="C65" s="114"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Billetes y tarifas (App)</v>
      </c>
      <c r="C66" s="114"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Atención al cliente</v>
      </c>
      <c r="C67" s="114"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Conócenos</v>
      </c>
      <c r="C68" s="114"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Actualidad del servicio</v>
      </c>
      <c r="C69" s="114"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Galería de fotos</v>
      </c>
      <c r="C70" s="114"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https://www.crtm.es/mapa-web</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Protección de datos</v>
      </c>
      <c r="C72" s="114"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Política de cookies</v>
      </c>
      <c r="C73" s="114"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Aviso Legal</v>
      </c>
      <c r="C74" s="114" t="str" cm="1">
        <f t="array" ref="C74">IFERROR(INDEX('03.Muestra'!$F$8:$F$42,SMALL(IF("Página Web"='03.Muestra'!$D$8:$D$42,ROW('03.Muestra'!$F$8:$F$42)-MIN(ROW('03.Muestra'!$D$8:$D$42))+1,""),ROW()-56)),"")</f>
        <v>https://www.crtm.es/aviso-legal</v>
      </c>
      <c r="D74" s="130" t="s">
        <v>34</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Normativa</v>
      </c>
      <c r="C75" s="114" t="str" cm="1">
        <f t="array" ref="C75">IFERROR(INDEX('03.Muestra'!$F$8:$F$42,SMALL(IF("Página Web"='03.Muestra'!$D$8:$D$42,ROW('03.Muestra'!$F$8:$F$42)-MIN(ROW('03.Muestra'!$D$8:$D$42))+1,""),ROW()-56)),"")</f>
        <v>https://www.crtm.es/normativa</v>
      </c>
      <c r="D75" s="130" t="s">
        <v>34</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Accesibilidad</v>
      </c>
      <c r="C76" s="114" t="str" cm="1">
        <f t="array" ref="C76">IFERROR(INDEX('03.Muestra'!$F$8:$F$42,SMALL(IF("Página Web"='03.Muestra'!$D$8:$D$42,ROW('03.Muestra'!$F$8:$F$42)-MIN(ROW('03.Muestra'!$D$8:$D$42))+1,""),ROW()-56)),"")</f>
        <v>https://www.crtm.es/accesibilidad</v>
      </c>
      <c r="D76" s="130" t="s">
        <v>34</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cm="1">
        <f t="array" ref="A77">IFERROR(INDEX('03.Muestra'!$B$8:$B$42,SMALL(IF("Página Web"='03.Muestra'!$D$8:$D$42,ROW('03.Muestra'!$B$8:$B$42)-MIN(ROW('03.Muestra'!$D$8:$D$42))+1,""),ROW()-56)),"")</f>
        <v>21</v>
      </c>
      <c r="B77" s="114" t="str" cm="1">
        <f t="array" ref="B77">IFERROR(INDEX('03.Muestra'!$C$8:$C$42,SMALL(IF("Página Web"='03.Muestra'!$D$8:$D$42,ROW('03.Muestra'!$C$8:$C$42)-MIN(ROW('03.Muestra'!$D$8:$D$42))+1,""),ROW()-56)),"")</f>
        <v>Modo accesible</v>
      </c>
      <c r="C77" s="114" t="str" cm="1">
        <f t="array" ref="C77">IFERROR(INDEX('03.Muestra'!$F$8:$F$42,SMALL(IF("Página Web"='03.Muestra'!$D$8:$D$42,ROW('03.Muestra'!$F$8:$F$42)-MIN(ROW('03.Muestra'!$D$8:$D$42))+1,""),ROW()-56)),"")</f>
        <v>https://www.crtm.es/</v>
      </c>
      <c r="D77" s="130" t="s">
        <v>34</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Red de metro</v>
      </c>
      <c r="C96" s="114"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21</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Líneas de metro</v>
      </c>
      <c r="C97" s="114"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Estaciones Aeropuerto T1-T2-T3</v>
      </c>
      <c r="C98" s="114"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Muévete por Madrid</v>
      </c>
      <c r="C99" s="114" t="str" cm="1">
        <f t="array" ref="C99">IFERROR(INDEX('03.Muestra'!$F$8:$F$42,SMALL(IF("Página Web"='03.Muestra'!$D$8:$D$42,ROW('03.Muestra'!$F$8:$F$42)-MIN(ROW('03.Muestra'!$D$8:$D$42))+1,""),ROW()-94)),"")</f>
        <v>https://www.crtm.es/muevete-por-madrid/</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conexiones con aeropuerto y principales estaciones</v>
      </c>
      <c r="C100" s="114"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desplazados Ucranianos</v>
      </c>
      <c r="C101" s="114"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Preguntas frecuentes (Tarjeta transporte público personal)</v>
      </c>
      <c r="C102" s="114"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Billetes y abonos (Metro)</v>
      </c>
      <c r="C103" s="114"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Billetes y tarifas (App)</v>
      </c>
      <c r="C104" s="114"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Atención al cliente</v>
      </c>
      <c r="C105" s="114"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Conócenos</v>
      </c>
      <c r="C106" s="114"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Actualidad del servicio</v>
      </c>
      <c r="C107" s="114"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Galería de fotos</v>
      </c>
      <c r="C108" s="114"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Protección de datos</v>
      </c>
      <c r="C110" s="114"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Política de cookies</v>
      </c>
      <c r="C111" s="114"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Aviso Legal</v>
      </c>
      <c r="C112" s="114"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Normativa</v>
      </c>
      <c r="C113" s="114"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Accesibilidad</v>
      </c>
      <c r="C114" s="114" t="str" cm="1">
        <f t="array" ref="C114">IFERROR(INDEX('03.Muestra'!$F$8:$F$42,SMALL(IF("Página Web"='03.Muestra'!$D$8:$D$42,ROW('03.Muestra'!$F$8:$F$42)-MIN(ROW('03.Muestra'!$D$8:$D$42))+1,""),ROW()-94)),"")</f>
        <v>https://www.crtm.es/accesibilidad</v>
      </c>
      <c r="D114" s="130" t="s">
        <v>34</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cm="1">
        <f t="array" ref="A115">IFERROR(INDEX('03.Muestra'!$B$8:$B$42,SMALL(IF("Página Web"='03.Muestra'!$D$8:$D$42,ROW('03.Muestra'!$B$8:$B$42)-MIN(ROW('03.Muestra'!$D$8:$D$42))+1,""),ROW()-94)),"")</f>
        <v>21</v>
      </c>
      <c r="B115" s="114" t="str" cm="1">
        <f t="array" ref="B115">IFERROR(INDEX('03.Muestra'!$C$8:$C$42,SMALL(IF("Página Web"='03.Muestra'!$D$8:$D$42,ROW('03.Muestra'!$C$8:$C$42)-MIN(ROW('03.Muestra'!$D$8:$D$42))+1,""),ROW()-94)),"")</f>
        <v>Modo accesible</v>
      </c>
      <c r="C115" s="114" t="str" cm="1">
        <f t="array" ref="C115">IFERROR(INDEX('03.Muestra'!$F$8:$F$42,SMALL(IF("Página Web"='03.Muestra'!$D$8:$D$42,ROW('03.Muestra'!$F$8:$F$42)-MIN(ROW('03.Muestra'!$D$8:$D$42))+1,""),ROW()-94)),"")</f>
        <v>https://www.crtm.es/</v>
      </c>
      <c r="D115" s="130" t="s">
        <v>34</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https://www.crtm.es/</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Red de metro</v>
      </c>
      <c r="C134" s="114" t="str" cm="1">
        <f t="array" ref="C134">IFERROR(INDEX('03.Muestra'!$F$8:$F$42,SMALL(IF("Página Web"='03.Muestra'!$D$8:$D$42,ROW('03.Muestra'!$F$8:$F$42)-MIN(ROW('03.Muestra'!$D$8:$D$42))+1,""),ROW()-132)),"")</f>
        <v>https://www.crtm.es/tu-transporte-publico/metro/</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21</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Líneas de metro</v>
      </c>
      <c r="C135" s="114" t="str" cm="1">
        <f t="array" ref="C135">IFERROR(INDEX('03.Muestra'!$F$8:$F$42,SMALL(IF("Página Web"='03.Muestra'!$D$8:$D$42,ROW('03.Muestra'!$F$8:$F$42)-MIN(ROW('03.Muestra'!$D$8:$D$42))+1,""),ROW()-132)),"")</f>
        <v>https://www.crtm.es/tu-transporte-publico/metro/lineas/4__1___</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Estaciones Aeropuerto T1-T2-T3</v>
      </c>
      <c r="C136" s="114" t="str" cm="1">
        <f t="array" ref="C136">IFERROR(INDEX('03.Muestra'!$F$8:$F$42,SMALL(IF("Página Web"='03.Muestra'!$D$8:$D$42,ROW('03.Muestra'!$F$8:$F$42)-MIN(ROW('03.Muestra'!$D$8:$D$42))+1,""),ROW()-132)),"")</f>
        <v>https://www.crtm.es/tu-transporte-publico/metro/estaciones/4_159</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Muévete por Madrid</v>
      </c>
      <c r="C137" s="114" t="str" cm="1">
        <f t="array" ref="C137">IFERROR(INDEX('03.Muestra'!$F$8:$F$42,SMALL(IF("Página Web"='03.Muestra'!$D$8:$D$42,ROW('03.Muestra'!$F$8:$F$42)-MIN(ROW('03.Muestra'!$D$8:$D$42))+1,""),ROW()-132)),"")</f>
        <v>https://www.crtm.es/muevete-por-madrid/</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conexiones con aeropuerto y principales estaciones</v>
      </c>
      <c r="C138" s="114" t="str" cm="1">
        <f t="array" ref="C138">IFERROR(INDEX('03.Muestra'!$F$8:$F$42,SMALL(IF("Página Web"='03.Muestra'!$D$8:$D$42,ROW('03.Muestra'!$F$8:$F$42)-MIN(ROW('03.Muestra'!$D$8:$D$42))+1,""),ROW()-132)),"")</f>
        <v xml:space="preserve">https://www.crtm.es/muevete-por-madrid/conexiones-con-aeropuerto-y-principales-estaciones/ </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desplazados Ucranianos</v>
      </c>
      <c r="C139" s="114" t="str" cm="1">
        <f t="array" ref="C139">IFERROR(INDEX('03.Muestra'!$F$8:$F$42,SMALL(IF("Página Web"='03.Muestra'!$D$8:$D$42,ROW('03.Muestra'!$F$8:$F$42)-MIN(ROW('03.Muestra'!$D$8:$D$42))+1,""),ROW()-132)),"")</f>
        <v>https://www.crtm.es/atencion-desplazados-ucranianos/#item3</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Preguntas frecuentes (Tarjeta transporte público personal)</v>
      </c>
      <c r="C140" s="114" t="str" cm="1">
        <f t="array" ref="C140">IFERROR(INDEX('03.Muestra'!$F$8:$F$42,SMALL(IF("Página Web"='03.Muestra'!$D$8:$D$42,ROW('03.Muestra'!$F$8:$F$42)-MIN(ROW('03.Muestra'!$D$8:$D$42))+1,""),ROW()-132)),"")</f>
        <v xml:space="preserve"> https://www.crtm.es/billetes-y-tarifas/tarjeta-transporte-publico/preguntas-frecuentes/#item23</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Billetes y abonos (Metro)</v>
      </c>
      <c r="C141" s="114" t="str" cm="1">
        <f t="array" ref="C141">IFERROR(INDEX('03.Muestra'!$F$8:$F$42,SMALL(IF("Página Web"='03.Muestra'!$D$8:$D$42,ROW('03.Muestra'!$F$8:$F$42)-MIN(ROW('03.Muestra'!$D$8:$D$42))+1,""),ROW()-132)),"")</f>
        <v>https://www.crtm.es/billetes-y-tarifas/billetes-y-abonos/metro/?idPestana=1&amp;lang=#item10</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Billetes y tarifas (App)</v>
      </c>
      <c r="C142" s="114" t="str" cm="1">
        <f t="array" ref="C142">IFERROR(INDEX('03.Muestra'!$F$8:$F$42,SMALL(IF("Página Web"='03.Muestra'!$D$8:$D$42,ROW('03.Muestra'!$F$8:$F$42)-MIN(ROW('03.Muestra'!$D$8:$D$42))+1,""),ROW()-132)),"")</f>
        <v>https://www.crtm.es/billetes-y-tarifas/apps/</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Atención al cliente</v>
      </c>
      <c r="C143" s="114" t="str" cm="1">
        <f t="array" ref="C143">IFERROR(INDEX('03.Muestra'!$F$8:$F$42,SMALL(IF("Página Web"='03.Muestra'!$D$8:$D$42,ROW('03.Muestra'!$F$8:$F$42)-MIN(ROW('03.Muestra'!$D$8:$D$42))+1,""),ROW()-132)),"")</f>
        <v>https://www.crtm.es/atencion-al-cliente/</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Conócenos</v>
      </c>
      <c r="C144" s="114" t="str" cm="1">
        <f t="array" ref="C144">IFERROR(INDEX('03.Muestra'!$F$8:$F$42,SMALL(IF("Página Web"='03.Muestra'!$D$8:$D$42,ROW('03.Muestra'!$F$8:$F$42)-MIN(ROW('03.Muestra'!$D$8:$D$42))+1,""),ROW()-132)),"")</f>
        <v>https://www.crtm.es/conocenos/#CentrodeDocumentacion</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Actualidad del servicio</v>
      </c>
      <c r="C145" s="114" t="str" cm="1">
        <f t="array" ref="C145">IFERROR(INDEX('03.Muestra'!$F$8:$F$42,SMALL(IF("Página Web"='03.Muestra'!$D$8:$D$42,ROW('03.Muestra'!$F$8:$F$42)-MIN(ROW('03.Muestra'!$D$8:$D$42))+1,""),ROW()-132)),"")</f>
        <v>https://www.crtm.es/comunicacion/actualidad-del-servicio/?idPestana=1&amp;lang=es</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Galería de fotos</v>
      </c>
      <c r="C146" s="114" t="str" cm="1">
        <f t="array" ref="C146">IFERROR(INDEX('03.Muestra'!$F$8:$F$42,SMALL(IF("Página Web"='03.Muestra'!$D$8:$D$42,ROW('03.Muestra'!$F$8:$F$42)-MIN(ROW('03.Muestra'!$D$8:$D$42))+1,""),ROW()-132)),"")</f>
        <v>https://www.crtm.es/comunicacion/multimedia/galeria-de-fotos/</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https://www.crtm.es/mapa-web</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Protección de datos</v>
      </c>
      <c r="C148" s="114" t="str" cm="1">
        <f t="array" ref="C148">IFERROR(INDEX('03.Muestra'!$F$8:$F$42,SMALL(IF("Página Web"='03.Muestra'!$D$8:$D$42,ROW('03.Muestra'!$F$8:$F$42)-MIN(ROW('03.Muestra'!$D$8:$D$42))+1,""),ROW()-132)),"")</f>
        <v>https://www.crtm.es/proteccion-de-datos</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Política de cookies</v>
      </c>
      <c r="C149" s="114" t="str" cm="1">
        <f t="array" ref="C149">IFERROR(INDEX('03.Muestra'!$F$8:$F$42,SMALL(IF("Página Web"='03.Muestra'!$D$8:$D$42,ROW('03.Muestra'!$F$8:$F$42)-MIN(ROW('03.Muestra'!$D$8:$D$42))+1,""),ROW()-132)),"")</f>
        <v>https://www.crtm.es/politica-de-cookies</v>
      </c>
      <c r="D149" s="130" t="s">
        <v>34</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Aviso Legal</v>
      </c>
      <c r="C150" s="114" t="str" cm="1">
        <f t="array" ref="C150">IFERROR(INDEX('03.Muestra'!$F$8:$F$42,SMALL(IF("Página Web"='03.Muestra'!$D$8:$D$42,ROW('03.Muestra'!$F$8:$F$42)-MIN(ROW('03.Muestra'!$D$8:$D$42))+1,""),ROW()-132)),"")</f>
        <v>https://www.crtm.es/aviso-legal</v>
      </c>
      <c r="D150" s="130" t="s">
        <v>34</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Normativa</v>
      </c>
      <c r="C151" s="114" t="str" cm="1">
        <f t="array" ref="C151">IFERROR(INDEX('03.Muestra'!$F$8:$F$42,SMALL(IF("Página Web"='03.Muestra'!$D$8:$D$42,ROW('03.Muestra'!$F$8:$F$42)-MIN(ROW('03.Muestra'!$D$8:$D$42))+1,""),ROW()-132)),"")</f>
        <v>https://www.crtm.es/normativa</v>
      </c>
      <c r="D151" s="130" t="s">
        <v>34</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Accesibilidad</v>
      </c>
      <c r="C152" s="114" t="str" cm="1">
        <f t="array" ref="C152">IFERROR(INDEX('03.Muestra'!$F$8:$F$42,SMALL(IF("Página Web"='03.Muestra'!$D$8:$D$42,ROW('03.Muestra'!$F$8:$F$42)-MIN(ROW('03.Muestra'!$D$8:$D$42))+1,""),ROW()-132)),"")</f>
        <v>https://www.crtm.es/accesibilidad</v>
      </c>
      <c r="D152" s="130" t="s">
        <v>34</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cm="1">
        <f t="array" ref="A153">IFERROR(INDEX('03.Muestra'!$B$8:$B$42,SMALL(IF("Página Web"='03.Muestra'!$D$8:$D$42,ROW('03.Muestra'!$B$8:$B$42)-MIN(ROW('03.Muestra'!$D$8:$D$42))+1,""),ROW()-132)),"")</f>
        <v>21</v>
      </c>
      <c r="B153" s="114" t="str" cm="1">
        <f t="array" ref="B153">IFERROR(INDEX('03.Muestra'!$C$8:$C$42,SMALL(IF("Página Web"='03.Muestra'!$D$8:$D$42,ROW('03.Muestra'!$C$8:$C$42)-MIN(ROW('03.Muestra'!$D$8:$D$42))+1,""),ROW()-132)),"")</f>
        <v>Modo accesible</v>
      </c>
      <c r="C153" s="114" t="str" cm="1">
        <f t="array" ref="C153">IFERROR(INDEX('03.Muestra'!$F$8:$F$42,SMALL(IF("Página Web"='03.Muestra'!$D$8:$D$42,ROW('03.Muestra'!$F$8:$F$42)-MIN(ROW('03.Muestra'!$D$8:$D$42))+1,""),ROW()-132)),"")</f>
        <v>https://www.crtm.es/</v>
      </c>
      <c r="D153" s="130" t="s">
        <v>34</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ref="D154:D167" si="7">IF(AND(B154&lt;&gt;"",C154&lt;&gt;""),"N/T","")</f>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https://www.crtm.es/</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Red de metro</v>
      </c>
      <c r="C172" s="114" t="str" cm="1">
        <f t="array" ref="C172">IFERROR(INDEX('03.Muestra'!$F$8:$F$42,SMALL(IF("Página Web"='03.Muestra'!$D$8:$D$42,ROW('03.Muestra'!$F$8:$F$42)-MIN(ROW('03.Muestra'!$D$8:$D$42))+1,""),ROW()-170)),"")</f>
        <v>https://www.crtm.es/tu-transporte-publico/metro/</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21</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Líneas de metro</v>
      </c>
      <c r="C173" s="114" t="str" cm="1">
        <f t="array" ref="C173">IFERROR(INDEX('03.Muestra'!$F$8:$F$42,SMALL(IF("Página Web"='03.Muestra'!$D$8:$D$42,ROW('03.Muestra'!$F$8:$F$42)-MIN(ROW('03.Muestra'!$D$8:$D$42))+1,""),ROW()-170)),"")</f>
        <v>https://www.crtm.es/tu-transporte-publico/metro/lineas/4__1___</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Estaciones Aeropuerto T1-T2-T3</v>
      </c>
      <c r="C174" s="114" t="str" cm="1">
        <f t="array" ref="C174">IFERROR(INDEX('03.Muestra'!$F$8:$F$42,SMALL(IF("Página Web"='03.Muestra'!$D$8:$D$42,ROW('03.Muestra'!$F$8:$F$42)-MIN(ROW('03.Muestra'!$D$8:$D$42))+1,""),ROW()-170)),"")</f>
        <v>https://www.crtm.es/tu-transporte-publico/metro/estaciones/4_159</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Muévete por Madrid</v>
      </c>
      <c r="C175" s="114" t="str" cm="1">
        <f t="array" ref="C175">IFERROR(INDEX('03.Muestra'!$F$8:$F$42,SMALL(IF("Página Web"='03.Muestra'!$D$8:$D$42,ROW('03.Muestra'!$F$8:$F$42)-MIN(ROW('03.Muestra'!$D$8:$D$42))+1,""),ROW()-170)),"")</f>
        <v>https://www.crtm.es/muevete-por-madrid/</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conexiones con aeropuerto y principales estaciones</v>
      </c>
      <c r="C176" s="114" t="str" cm="1">
        <f t="array" ref="C176">IFERROR(INDEX('03.Muestra'!$F$8:$F$42,SMALL(IF("Página Web"='03.Muestra'!$D$8:$D$42,ROW('03.Muestra'!$F$8:$F$42)-MIN(ROW('03.Muestra'!$D$8:$D$42))+1,""),ROW()-170)),"")</f>
        <v xml:space="preserve">https://www.crtm.es/muevete-por-madrid/conexiones-con-aeropuerto-y-principales-estaciones/ </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desplazados Ucranianos</v>
      </c>
      <c r="C177" s="114" t="str" cm="1">
        <f t="array" ref="C177">IFERROR(INDEX('03.Muestra'!$F$8:$F$42,SMALL(IF("Página Web"='03.Muestra'!$D$8:$D$42,ROW('03.Muestra'!$F$8:$F$42)-MIN(ROW('03.Muestra'!$D$8:$D$42))+1,""),ROW()-170)),"")</f>
        <v>https://www.crtm.es/atencion-desplazados-ucranianos/#item3</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Preguntas frecuentes (Tarjeta transporte público personal)</v>
      </c>
      <c r="C178" s="114" t="str" cm="1">
        <f t="array" ref="C178">IFERROR(INDEX('03.Muestra'!$F$8:$F$42,SMALL(IF("Página Web"='03.Muestra'!$D$8:$D$42,ROW('03.Muestra'!$F$8:$F$42)-MIN(ROW('03.Muestra'!$D$8:$D$42))+1,""),ROW()-170)),"")</f>
        <v xml:space="preserve"> https://www.crtm.es/billetes-y-tarifas/tarjeta-transporte-publico/preguntas-frecuentes/#item23</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Billetes y abonos (Metro)</v>
      </c>
      <c r="C179" s="114" t="str" cm="1">
        <f t="array" ref="C179">IFERROR(INDEX('03.Muestra'!$F$8:$F$42,SMALL(IF("Página Web"='03.Muestra'!$D$8:$D$42,ROW('03.Muestra'!$F$8:$F$42)-MIN(ROW('03.Muestra'!$D$8:$D$42))+1,""),ROW()-170)),"")</f>
        <v>https://www.crtm.es/billetes-y-tarifas/billetes-y-abonos/metro/?idPestana=1&amp;lang=#item10</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Billetes y tarifas (App)</v>
      </c>
      <c r="C180" s="114" t="str" cm="1">
        <f t="array" ref="C180">IFERROR(INDEX('03.Muestra'!$F$8:$F$42,SMALL(IF("Página Web"='03.Muestra'!$D$8:$D$42,ROW('03.Muestra'!$F$8:$F$42)-MIN(ROW('03.Muestra'!$D$8:$D$42))+1,""),ROW()-170)),"")</f>
        <v>https://www.crtm.es/billetes-y-tarifas/apps/</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Atención al cliente</v>
      </c>
      <c r="C181" s="114" t="str" cm="1">
        <f t="array" ref="C181">IFERROR(INDEX('03.Muestra'!$F$8:$F$42,SMALL(IF("Página Web"='03.Muestra'!$D$8:$D$42,ROW('03.Muestra'!$F$8:$F$42)-MIN(ROW('03.Muestra'!$D$8:$D$42))+1,""),ROW()-170)),"")</f>
        <v>https://www.crtm.es/atencion-al-cliente/</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Conócenos</v>
      </c>
      <c r="C182" s="114" t="str" cm="1">
        <f t="array" ref="C182">IFERROR(INDEX('03.Muestra'!$F$8:$F$42,SMALL(IF("Página Web"='03.Muestra'!$D$8:$D$42,ROW('03.Muestra'!$F$8:$F$42)-MIN(ROW('03.Muestra'!$D$8:$D$42))+1,""),ROW()-170)),"")</f>
        <v>https://www.crtm.es/conocenos/#CentrodeDocumentacion</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Actualidad del servicio</v>
      </c>
      <c r="C183" s="114" t="str" cm="1">
        <f t="array" ref="C183">IFERROR(INDEX('03.Muestra'!$F$8:$F$42,SMALL(IF("Página Web"='03.Muestra'!$D$8:$D$42,ROW('03.Muestra'!$F$8:$F$42)-MIN(ROW('03.Muestra'!$D$8:$D$42))+1,""),ROW()-170)),"")</f>
        <v>https://www.crtm.es/comunicacion/actualidad-del-servicio/?idPestana=1&amp;lang=es</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Galería de fotos</v>
      </c>
      <c r="C184" s="114" t="str" cm="1">
        <f t="array" ref="C184">IFERROR(INDEX('03.Muestra'!$F$8:$F$42,SMALL(IF("Página Web"='03.Muestra'!$D$8:$D$42,ROW('03.Muestra'!$F$8:$F$42)-MIN(ROW('03.Muestra'!$D$8:$D$42))+1,""),ROW()-170)),"")</f>
        <v>https://www.crtm.es/comunicacion/multimedia/galeria-de-fotos/</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https://www.crtm.es/mapa-web</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Protección de datos</v>
      </c>
      <c r="C186" s="114" t="str" cm="1">
        <f t="array" ref="C186">IFERROR(INDEX('03.Muestra'!$F$8:$F$42,SMALL(IF("Página Web"='03.Muestra'!$D$8:$D$42,ROW('03.Muestra'!$F$8:$F$42)-MIN(ROW('03.Muestra'!$D$8:$D$42))+1,""),ROW()-170)),"")</f>
        <v>https://www.crtm.es/proteccion-de-datos</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Política de cookies</v>
      </c>
      <c r="C187" s="114" t="str" cm="1">
        <f t="array" ref="C187">IFERROR(INDEX('03.Muestra'!$F$8:$F$42,SMALL(IF("Página Web"='03.Muestra'!$D$8:$D$42,ROW('03.Muestra'!$F$8:$F$42)-MIN(ROW('03.Muestra'!$D$8:$D$42))+1,""),ROW()-170)),"")</f>
        <v>https://www.crtm.es/politica-de-cookies</v>
      </c>
      <c r="D187" s="130" t="s">
        <v>34</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Aviso Legal</v>
      </c>
      <c r="C188" s="114" t="str" cm="1">
        <f t="array" ref="C188">IFERROR(INDEX('03.Muestra'!$F$8:$F$42,SMALL(IF("Página Web"='03.Muestra'!$D$8:$D$42,ROW('03.Muestra'!$F$8:$F$42)-MIN(ROW('03.Muestra'!$D$8:$D$42))+1,""),ROW()-170)),"")</f>
        <v>https://www.crtm.es/aviso-legal</v>
      </c>
      <c r="D188" s="130" t="s">
        <v>34</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Normativa</v>
      </c>
      <c r="C189" s="114" t="str" cm="1">
        <f t="array" ref="C189">IFERROR(INDEX('03.Muestra'!$F$8:$F$42,SMALL(IF("Página Web"='03.Muestra'!$D$8:$D$42,ROW('03.Muestra'!$F$8:$F$42)-MIN(ROW('03.Muestra'!$D$8:$D$42))+1,""),ROW()-170)),"")</f>
        <v>https://www.crtm.es/normativa</v>
      </c>
      <c r="D189" s="130" t="s">
        <v>34</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Accesibilidad</v>
      </c>
      <c r="C190" s="114" t="str" cm="1">
        <f t="array" ref="C190">IFERROR(INDEX('03.Muestra'!$F$8:$F$42,SMALL(IF("Página Web"='03.Muestra'!$D$8:$D$42,ROW('03.Muestra'!$F$8:$F$42)-MIN(ROW('03.Muestra'!$D$8:$D$42))+1,""),ROW()-170)),"")</f>
        <v>https://www.crtm.es/accesibilidad</v>
      </c>
      <c r="D190" s="130" t="s">
        <v>34</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cm="1">
        <f t="array" ref="A191">IFERROR(INDEX('03.Muestra'!$B$8:$B$42,SMALL(IF("Página Web"='03.Muestra'!$D$8:$D$42,ROW('03.Muestra'!$B$8:$B$42)-MIN(ROW('03.Muestra'!$D$8:$D$42))+1,""),ROW()-170)),"")</f>
        <v>21</v>
      </c>
      <c r="B191" s="114" t="str" cm="1">
        <f t="array" ref="B191">IFERROR(INDEX('03.Muestra'!$C$8:$C$42,SMALL(IF("Página Web"='03.Muestra'!$D$8:$D$42,ROW('03.Muestra'!$C$8:$C$42)-MIN(ROW('03.Muestra'!$D$8:$D$42))+1,""),ROW()-170)),"")</f>
        <v>Modo accesible</v>
      </c>
      <c r="C191" s="114" t="str" cm="1">
        <f t="array" ref="C191">IFERROR(INDEX('03.Muestra'!$F$8:$F$42,SMALL(IF("Página Web"='03.Muestra'!$D$8:$D$42,ROW('03.Muestra'!$F$8:$F$42)-MIN(ROW('03.Muestra'!$D$8:$D$42))+1,""),ROW()-170)),"")</f>
        <v>https://www.crtm.es/</v>
      </c>
      <c r="D191" s="130" t="s">
        <v>34</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ref="D192:D205" si="9">IF(AND(B192&lt;&gt;"",C192&lt;&gt;""),"N/T","")</f>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https://www.crtm.es/</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Red de metro</v>
      </c>
      <c r="C210" s="114" t="str" cm="1">
        <f t="array" ref="C210">IFERROR(INDEX('03.Muestra'!$F$8:$F$42,SMALL(IF("Página Web"='03.Muestra'!$D$8:$D$42,ROW('03.Muestra'!$F$8:$F$42)-MIN(ROW('03.Muestra'!$D$8:$D$42))+1,""),ROW()-208)),"")</f>
        <v>https://www.crtm.es/tu-transporte-publico/metro/</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21</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Líneas de metro</v>
      </c>
      <c r="C211" s="114" t="str" cm="1">
        <f t="array" ref="C211">IFERROR(INDEX('03.Muestra'!$F$8:$F$42,SMALL(IF("Página Web"='03.Muestra'!$D$8:$D$42,ROW('03.Muestra'!$F$8:$F$42)-MIN(ROW('03.Muestra'!$D$8:$D$42))+1,""),ROW()-208)),"")</f>
        <v>https://www.crtm.es/tu-transporte-publico/metro/lineas/4__1___</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Estaciones Aeropuerto T1-T2-T3</v>
      </c>
      <c r="C212" s="114" t="str" cm="1">
        <f t="array" ref="C212">IFERROR(INDEX('03.Muestra'!$F$8:$F$42,SMALL(IF("Página Web"='03.Muestra'!$D$8:$D$42,ROW('03.Muestra'!$F$8:$F$42)-MIN(ROW('03.Muestra'!$D$8:$D$42))+1,""),ROW()-208)),"")</f>
        <v>https://www.crtm.es/tu-transporte-publico/metro/estaciones/4_159</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Muévete por Madrid</v>
      </c>
      <c r="C213" s="114" t="str" cm="1">
        <f t="array" ref="C213">IFERROR(INDEX('03.Muestra'!$F$8:$F$42,SMALL(IF("Página Web"='03.Muestra'!$D$8:$D$42,ROW('03.Muestra'!$F$8:$F$42)-MIN(ROW('03.Muestra'!$D$8:$D$42))+1,""),ROW()-208)),"")</f>
        <v>https://www.crtm.es/muevete-por-madrid/</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conexiones con aeropuerto y principales estaciones</v>
      </c>
      <c r="C214" s="114" t="str" cm="1">
        <f t="array" ref="C214">IFERROR(INDEX('03.Muestra'!$F$8:$F$42,SMALL(IF("Página Web"='03.Muestra'!$D$8:$D$42,ROW('03.Muestra'!$F$8:$F$42)-MIN(ROW('03.Muestra'!$D$8:$D$42))+1,""),ROW()-208)),"")</f>
        <v xml:space="preserve">https://www.crtm.es/muevete-por-madrid/conexiones-con-aeropuerto-y-principales-estaciones/ </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desplazados Ucranianos</v>
      </c>
      <c r="C215" s="114" t="str" cm="1">
        <f t="array" ref="C215">IFERROR(INDEX('03.Muestra'!$F$8:$F$42,SMALL(IF("Página Web"='03.Muestra'!$D$8:$D$42,ROW('03.Muestra'!$F$8:$F$42)-MIN(ROW('03.Muestra'!$D$8:$D$42))+1,""),ROW()-208)),"")</f>
        <v>https://www.crtm.es/atencion-desplazados-ucranianos/#item3</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Preguntas frecuentes (Tarjeta transporte público personal)</v>
      </c>
      <c r="C216" s="114" t="str" cm="1">
        <f t="array" ref="C216">IFERROR(INDEX('03.Muestra'!$F$8:$F$42,SMALL(IF("Página Web"='03.Muestra'!$D$8:$D$42,ROW('03.Muestra'!$F$8:$F$42)-MIN(ROW('03.Muestra'!$D$8:$D$42))+1,""),ROW()-208)),"")</f>
        <v xml:space="preserve"> https://www.crtm.es/billetes-y-tarifas/tarjeta-transporte-publico/preguntas-frecuentes/#item23</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Billetes y abonos (Metro)</v>
      </c>
      <c r="C217" s="114" t="str" cm="1">
        <f t="array" ref="C217">IFERROR(INDEX('03.Muestra'!$F$8:$F$42,SMALL(IF("Página Web"='03.Muestra'!$D$8:$D$42,ROW('03.Muestra'!$F$8:$F$42)-MIN(ROW('03.Muestra'!$D$8:$D$42))+1,""),ROW()-208)),"")</f>
        <v>https://www.crtm.es/billetes-y-tarifas/billetes-y-abonos/metro/?idPestana=1&amp;lang=#item10</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Billetes y tarifas (App)</v>
      </c>
      <c r="C218" s="114" t="str" cm="1">
        <f t="array" ref="C218">IFERROR(INDEX('03.Muestra'!$F$8:$F$42,SMALL(IF("Página Web"='03.Muestra'!$D$8:$D$42,ROW('03.Muestra'!$F$8:$F$42)-MIN(ROW('03.Muestra'!$D$8:$D$42))+1,""),ROW()-208)),"")</f>
        <v>https://www.crtm.es/billetes-y-tarifas/apps/</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Atención al cliente</v>
      </c>
      <c r="C219" s="114" t="str" cm="1">
        <f t="array" ref="C219">IFERROR(INDEX('03.Muestra'!$F$8:$F$42,SMALL(IF("Página Web"='03.Muestra'!$D$8:$D$42,ROW('03.Muestra'!$F$8:$F$42)-MIN(ROW('03.Muestra'!$D$8:$D$42))+1,""),ROW()-208)),"")</f>
        <v>https://www.crtm.es/atencion-al-cliente/</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Conócenos</v>
      </c>
      <c r="C220" s="114" t="str" cm="1">
        <f t="array" ref="C220">IFERROR(INDEX('03.Muestra'!$F$8:$F$42,SMALL(IF("Página Web"='03.Muestra'!$D$8:$D$42,ROW('03.Muestra'!$F$8:$F$42)-MIN(ROW('03.Muestra'!$D$8:$D$42))+1,""),ROW()-208)),"")</f>
        <v>https://www.crtm.es/conocenos/#CentrodeDocumentacion</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Actualidad del servicio</v>
      </c>
      <c r="C221" s="114" t="str" cm="1">
        <f t="array" ref="C221">IFERROR(INDEX('03.Muestra'!$F$8:$F$42,SMALL(IF("Página Web"='03.Muestra'!$D$8:$D$42,ROW('03.Muestra'!$F$8:$F$42)-MIN(ROW('03.Muestra'!$D$8:$D$42))+1,""),ROW()-208)),"")</f>
        <v>https://www.crtm.es/comunicacion/actualidad-del-servicio/?idPestana=1&amp;lang=es</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Galería de fotos</v>
      </c>
      <c r="C222" s="114" t="str" cm="1">
        <f t="array" ref="C222">IFERROR(INDEX('03.Muestra'!$F$8:$F$42,SMALL(IF("Página Web"='03.Muestra'!$D$8:$D$42,ROW('03.Muestra'!$F$8:$F$42)-MIN(ROW('03.Muestra'!$D$8:$D$42))+1,""),ROW()-208)),"")</f>
        <v>https://www.crtm.es/comunicacion/multimedia/galeria-de-fotos/</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https://www.crtm.es/mapa-web</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Protección de datos</v>
      </c>
      <c r="C224" s="114" t="str" cm="1">
        <f t="array" ref="C224">IFERROR(INDEX('03.Muestra'!$F$8:$F$42,SMALL(IF("Página Web"='03.Muestra'!$D$8:$D$42,ROW('03.Muestra'!$F$8:$F$42)-MIN(ROW('03.Muestra'!$D$8:$D$42))+1,""),ROW()-208)),"")</f>
        <v>https://www.crtm.es/proteccion-de-datos</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Política de cookies</v>
      </c>
      <c r="C225" s="114" t="str" cm="1">
        <f t="array" ref="C225">IFERROR(INDEX('03.Muestra'!$F$8:$F$42,SMALL(IF("Página Web"='03.Muestra'!$D$8:$D$42,ROW('03.Muestra'!$F$8:$F$42)-MIN(ROW('03.Muestra'!$D$8:$D$42))+1,""),ROW()-208)),"")</f>
        <v>https://www.crtm.es/politica-de-cookies</v>
      </c>
      <c r="D225" s="130" t="s">
        <v>34</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Aviso Legal</v>
      </c>
      <c r="C226" s="114" t="str" cm="1">
        <f t="array" ref="C226">IFERROR(INDEX('03.Muestra'!$F$8:$F$42,SMALL(IF("Página Web"='03.Muestra'!$D$8:$D$42,ROW('03.Muestra'!$F$8:$F$42)-MIN(ROW('03.Muestra'!$D$8:$D$42))+1,""),ROW()-208)),"")</f>
        <v>https://www.crtm.es/aviso-legal</v>
      </c>
      <c r="D226" s="130" t="s">
        <v>34</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Normativa</v>
      </c>
      <c r="C227" s="114" t="str" cm="1">
        <f t="array" ref="C227">IFERROR(INDEX('03.Muestra'!$F$8:$F$42,SMALL(IF("Página Web"='03.Muestra'!$D$8:$D$42,ROW('03.Muestra'!$F$8:$F$42)-MIN(ROW('03.Muestra'!$D$8:$D$42))+1,""),ROW()-208)),"")</f>
        <v>https://www.crtm.es/normativa</v>
      </c>
      <c r="D227" s="130" t="s">
        <v>34</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Accesibilidad</v>
      </c>
      <c r="C228" s="114" t="str" cm="1">
        <f t="array" ref="C228">IFERROR(INDEX('03.Muestra'!$F$8:$F$42,SMALL(IF("Página Web"='03.Muestra'!$D$8:$D$42,ROW('03.Muestra'!$F$8:$F$42)-MIN(ROW('03.Muestra'!$D$8:$D$42))+1,""),ROW()-208)),"")</f>
        <v>https://www.crtm.es/accesibilidad</v>
      </c>
      <c r="D228" s="130" t="s">
        <v>34</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cm="1">
        <f t="array" ref="A229">IFERROR(INDEX('03.Muestra'!$B$8:$B$42,SMALL(IF("Página Web"='03.Muestra'!$D$8:$D$42,ROW('03.Muestra'!$B$8:$B$42)-MIN(ROW('03.Muestra'!$D$8:$D$42))+1,""),ROW()-208)),"")</f>
        <v>21</v>
      </c>
      <c r="B229" s="114" t="str" cm="1">
        <f t="array" ref="B229">IFERROR(INDEX('03.Muestra'!$C$8:$C$42,SMALL(IF("Página Web"='03.Muestra'!$D$8:$D$42,ROW('03.Muestra'!$C$8:$C$42)-MIN(ROW('03.Muestra'!$D$8:$D$42))+1,""),ROW()-208)),"")</f>
        <v>Modo accesible</v>
      </c>
      <c r="C229" s="114" t="str" cm="1">
        <f t="array" ref="C229">IFERROR(INDEX('03.Muestra'!$F$8:$F$42,SMALL(IF("Página Web"='03.Muestra'!$D$8:$D$42,ROW('03.Muestra'!$F$8:$F$42)-MIN(ROW('03.Muestra'!$D$8:$D$42))+1,""),ROW()-208)),"")</f>
        <v>https://www.crtm.es/</v>
      </c>
      <c r="D229" s="130" t="s">
        <v>34</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ref="D230:D243" si="11">IF(AND(B230&lt;&gt;"",C230&lt;&gt;""),"N/T","")</f>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https://www.crtm.es/</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Red de metro</v>
      </c>
      <c r="C248" s="114" t="str" cm="1">
        <f t="array" ref="C248">IFERROR(INDEX('03.Muestra'!$F$8:$F$42,SMALL(IF("Página Web"='03.Muestra'!$D$8:$D$42,ROW('03.Muestra'!$F$8:$F$42)-MIN(ROW('03.Muestra'!$D$8:$D$42))+1,""),ROW()-246)),"")</f>
        <v>https://www.crtm.es/tu-transporte-publico/metro/</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21</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Líneas de metro</v>
      </c>
      <c r="C249" s="114" t="str" cm="1">
        <f t="array" ref="C249">IFERROR(INDEX('03.Muestra'!$F$8:$F$42,SMALL(IF("Página Web"='03.Muestra'!$D$8:$D$42,ROW('03.Muestra'!$F$8:$F$42)-MIN(ROW('03.Muestra'!$D$8:$D$42))+1,""),ROW()-246)),"")</f>
        <v>https://www.crtm.es/tu-transporte-publico/metro/lineas/4__1___</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Estaciones Aeropuerto T1-T2-T3</v>
      </c>
      <c r="C250" s="114" t="str" cm="1">
        <f t="array" ref="C250">IFERROR(INDEX('03.Muestra'!$F$8:$F$42,SMALL(IF("Página Web"='03.Muestra'!$D$8:$D$42,ROW('03.Muestra'!$F$8:$F$42)-MIN(ROW('03.Muestra'!$D$8:$D$42))+1,""),ROW()-246)),"")</f>
        <v>https://www.crtm.es/tu-transporte-publico/metro/estaciones/4_159</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Muévete por Madrid</v>
      </c>
      <c r="C251" s="114" t="str" cm="1">
        <f t="array" ref="C251">IFERROR(INDEX('03.Muestra'!$F$8:$F$42,SMALL(IF("Página Web"='03.Muestra'!$D$8:$D$42,ROW('03.Muestra'!$F$8:$F$42)-MIN(ROW('03.Muestra'!$D$8:$D$42))+1,""),ROW()-246)),"")</f>
        <v>https://www.crtm.es/muevete-por-madrid/</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conexiones con aeropuerto y principales estaciones</v>
      </c>
      <c r="C252" s="114" t="str" cm="1">
        <f t="array" ref="C252">IFERROR(INDEX('03.Muestra'!$F$8:$F$42,SMALL(IF("Página Web"='03.Muestra'!$D$8:$D$42,ROW('03.Muestra'!$F$8:$F$42)-MIN(ROW('03.Muestra'!$D$8:$D$42))+1,""),ROW()-246)),"")</f>
        <v xml:space="preserve">https://www.crtm.es/muevete-por-madrid/conexiones-con-aeropuerto-y-principales-estaciones/ </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desplazados Ucranianos</v>
      </c>
      <c r="C253" s="114" t="str" cm="1">
        <f t="array" ref="C253">IFERROR(INDEX('03.Muestra'!$F$8:$F$42,SMALL(IF("Página Web"='03.Muestra'!$D$8:$D$42,ROW('03.Muestra'!$F$8:$F$42)-MIN(ROW('03.Muestra'!$D$8:$D$42))+1,""),ROW()-246)),"")</f>
        <v>https://www.crtm.es/atencion-desplazados-ucranianos/#item3</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Preguntas frecuentes (Tarjeta transporte público personal)</v>
      </c>
      <c r="C254" s="114" t="str" cm="1">
        <f t="array" ref="C254">IFERROR(INDEX('03.Muestra'!$F$8:$F$42,SMALL(IF("Página Web"='03.Muestra'!$D$8:$D$42,ROW('03.Muestra'!$F$8:$F$42)-MIN(ROW('03.Muestra'!$D$8:$D$42))+1,""),ROW()-246)),"")</f>
        <v xml:space="preserve"> https://www.crtm.es/billetes-y-tarifas/tarjeta-transporte-publico/preguntas-frecuentes/#item23</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Billetes y abonos (Metro)</v>
      </c>
      <c r="C255" s="114" t="str" cm="1">
        <f t="array" ref="C255">IFERROR(INDEX('03.Muestra'!$F$8:$F$42,SMALL(IF("Página Web"='03.Muestra'!$D$8:$D$42,ROW('03.Muestra'!$F$8:$F$42)-MIN(ROW('03.Muestra'!$D$8:$D$42))+1,""),ROW()-246)),"")</f>
        <v>https://www.crtm.es/billetes-y-tarifas/billetes-y-abonos/metro/?idPestana=1&amp;lang=#item10</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Billetes y tarifas (App)</v>
      </c>
      <c r="C256" s="114" t="str" cm="1">
        <f t="array" ref="C256">IFERROR(INDEX('03.Muestra'!$F$8:$F$42,SMALL(IF("Página Web"='03.Muestra'!$D$8:$D$42,ROW('03.Muestra'!$F$8:$F$42)-MIN(ROW('03.Muestra'!$D$8:$D$42))+1,""),ROW()-246)),"")</f>
        <v>https://www.crtm.es/billetes-y-tarifas/apps/</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Atención al cliente</v>
      </c>
      <c r="C257" s="114" t="str" cm="1">
        <f t="array" ref="C257">IFERROR(INDEX('03.Muestra'!$F$8:$F$42,SMALL(IF("Página Web"='03.Muestra'!$D$8:$D$42,ROW('03.Muestra'!$F$8:$F$42)-MIN(ROW('03.Muestra'!$D$8:$D$42))+1,""),ROW()-246)),"")</f>
        <v>https://www.crtm.es/atencion-al-cliente/</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Conócenos</v>
      </c>
      <c r="C258" s="114" t="str" cm="1">
        <f t="array" ref="C258">IFERROR(INDEX('03.Muestra'!$F$8:$F$42,SMALL(IF("Página Web"='03.Muestra'!$D$8:$D$42,ROW('03.Muestra'!$F$8:$F$42)-MIN(ROW('03.Muestra'!$D$8:$D$42))+1,""),ROW()-246)),"")</f>
        <v>https://www.crtm.es/conocenos/#CentrodeDocumentacion</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Actualidad del servicio</v>
      </c>
      <c r="C259" s="114" t="str" cm="1">
        <f t="array" ref="C259">IFERROR(INDEX('03.Muestra'!$F$8:$F$42,SMALL(IF("Página Web"='03.Muestra'!$D$8:$D$42,ROW('03.Muestra'!$F$8:$F$42)-MIN(ROW('03.Muestra'!$D$8:$D$42))+1,""),ROW()-246)),"")</f>
        <v>https://www.crtm.es/comunicacion/actualidad-del-servicio/?idPestana=1&amp;lang=es</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Galería de fotos</v>
      </c>
      <c r="C260" s="114" t="str" cm="1">
        <f t="array" ref="C260">IFERROR(INDEX('03.Muestra'!$F$8:$F$42,SMALL(IF("Página Web"='03.Muestra'!$D$8:$D$42,ROW('03.Muestra'!$F$8:$F$42)-MIN(ROW('03.Muestra'!$D$8:$D$42))+1,""),ROW()-246)),"")</f>
        <v>https://www.crtm.es/comunicacion/multimedia/galeria-de-fotos/</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Mapa web</v>
      </c>
      <c r="C261" s="114" t="str" cm="1">
        <f t="array" ref="C261">IFERROR(INDEX('03.Muestra'!$F$8:$F$42,SMALL(IF("Página Web"='03.Muestra'!$D$8:$D$42,ROW('03.Muestra'!$F$8:$F$42)-MIN(ROW('03.Muestra'!$D$8:$D$42))+1,""),ROW()-246)),"")</f>
        <v>https://www.crtm.es/mapa-web</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Protección de datos</v>
      </c>
      <c r="C262" s="114" t="str" cm="1">
        <f t="array" ref="C262">IFERROR(INDEX('03.Muestra'!$F$8:$F$42,SMALL(IF("Página Web"='03.Muestra'!$D$8:$D$42,ROW('03.Muestra'!$F$8:$F$42)-MIN(ROW('03.Muestra'!$D$8:$D$42))+1,""),ROW()-246)),"")</f>
        <v>https://www.crtm.es/proteccion-de-datos</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Política de cookies</v>
      </c>
      <c r="C263" s="114" t="str" cm="1">
        <f t="array" ref="C263">IFERROR(INDEX('03.Muestra'!$F$8:$F$42,SMALL(IF("Página Web"='03.Muestra'!$D$8:$D$42,ROW('03.Muestra'!$F$8:$F$42)-MIN(ROW('03.Muestra'!$D$8:$D$42))+1,""),ROW()-246)),"")</f>
        <v>https://www.crtm.es/politica-de-cookies</v>
      </c>
      <c r="D263" s="130" t="s">
        <v>34</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Aviso Legal</v>
      </c>
      <c r="C264" s="114" t="str" cm="1">
        <f t="array" ref="C264">IFERROR(INDEX('03.Muestra'!$F$8:$F$42,SMALL(IF("Página Web"='03.Muestra'!$D$8:$D$42,ROW('03.Muestra'!$F$8:$F$42)-MIN(ROW('03.Muestra'!$D$8:$D$42))+1,""),ROW()-246)),"")</f>
        <v>https://www.crtm.es/aviso-legal</v>
      </c>
      <c r="D264" s="130" t="s">
        <v>34</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Normativa</v>
      </c>
      <c r="C265" s="114" t="str" cm="1">
        <f t="array" ref="C265">IFERROR(INDEX('03.Muestra'!$F$8:$F$42,SMALL(IF("Página Web"='03.Muestra'!$D$8:$D$42,ROW('03.Muestra'!$F$8:$F$42)-MIN(ROW('03.Muestra'!$D$8:$D$42))+1,""),ROW()-246)),"")</f>
        <v>https://www.crtm.es/normativa</v>
      </c>
      <c r="D265" s="130" t="s">
        <v>34</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Accesibilidad</v>
      </c>
      <c r="C266" s="114" t="str" cm="1">
        <f t="array" ref="C266">IFERROR(INDEX('03.Muestra'!$F$8:$F$42,SMALL(IF("Página Web"='03.Muestra'!$D$8:$D$42,ROW('03.Muestra'!$F$8:$F$42)-MIN(ROW('03.Muestra'!$D$8:$D$42))+1,""),ROW()-246)),"")</f>
        <v>https://www.crtm.es/accesibilidad</v>
      </c>
      <c r="D266" s="130" t="s">
        <v>34</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cm="1">
        <f t="array" ref="A267">IFERROR(INDEX('03.Muestra'!$B$8:$B$42,SMALL(IF("Página Web"='03.Muestra'!$D$8:$D$42,ROW('03.Muestra'!$B$8:$B$42)-MIN(ROW('03.Muestra'!$D$8:$D$42))+1,""),ROW()-246)),"")</f>
        <v>21</v>
      </c>
      <c r="B267" s="114" t="str" cm="1">
        <f t="array" ref="B267">IFERROR(INDEX('03.Muestra'!$C$8:$C$42,SMALL(IF("Página Web"='03.Muestra'!$D$8:$D$42,ROW('03.Muestra'!$C$8:$C$42)-MIN(ROW('03.Muestra'!$D$8:$D$42))+1,""),ROW()-246)),"")</f>
        <v>Modo accesible</v>
      </c>
      <c r="C267" s="114" t="str" cm="1">
        <f t="array" ref="C267">IFERROR(INDEX('03.Muestra'!$F$8:$F$42,SMALL(IF("Página Web"='03.Muestra'!$D$8:$D$42,ROW('03.Muestra'!$F$8:$F$42)-MIN(ROW('03.Muestra'!$D$8:$D$42))+1,""),ROW()-246)),"")</f>
        <v>https://www.crtm.es/</v>
      </c>
      <c r="D267" s="130" t="s">
        <v>34</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ref="D268:D281" si="13">IF(AND(B268&lt;&gt;"",C268&lt;&gt;""),"N/T","")</f>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https://www.crtm.es/</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Red de metro</v>
      </c>
      <c r="C286" s="114" t="str" cm="1">
        <f t="array" ref="C286">IFERROR(INDEX('03.Muestra'!$F$8:$F$42,SMALL(IF("Página Web"='03.Muestra'!$D$8:$D$42,ROW('03.Muestra'!$F$8:$F$42)-MIN(ROW('03.Muestra'!$D$8:$D$42))+1,""),ROW()-284)),"")</f>
        <v>https://www.crtm.es/tu-transporte-publico/metro/</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21</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Líneas de metro</v>
      </c>
      <c r="C287" s="114" t="str" cm="1">
        <f t="array" ref="C287">IFERROR(INDEX('03.Muestra'!$F$8:$F$42,SMALL(IF("Página Web"='03.Muestra'!$D$8:$D$42,ROW('03.Muestra'!$F$8:$F$42)-MIN(ROW('03.Muestra'!$D$8:$D$42))+1,""),ROW()-284)),"")</f>
        <v>https://www.crtm.es/tu-transporte-publico/metro/lineas/4__1___</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Estaciones Aeropuerto T1-T2-T3</v>
      </c>
      <c r="C288" s="114" t="str" cm="1">
        <f t="array" ref="C288">IFERROR(INDEX('03.Muestra'!$F$8:$F$42,SMALL(IF("Página Web"='03.Muestra'!$D$8:$D$42,ROW('03.Muestra'!$F$8:$F$42)-MIN(ROW('03.Muestra'!$D$8:$D$42))+1,""),ROW()-284)),"")</f>
        <v>https://www.crtm.es/tu-transporte-publico/metro/estaciones/4_159</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Muévete por Madrid</v>
      </c>
      <c r="C289" s="114" t="str" cm="1">
        <f t="array" ref="C289">IFERROR(INDEX('03.Muestra'!$F$8:$F$42,SMALL(IF("Página Web"='03.Muestra'!$D$8:$D$42,ROW('03.Muestra'!$F$8:$F$42)-MIN(ROW('03.Muestra'!$D$8:$D$42))+1,""),ROW()-284)),"")</f>
        <v>https://www.crtm.es/muevete-por-madrid/</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conexiones con aeropuerto y principales estaciones</v>
      </c>
      <c r="C290" s="114" t="str" cm="1">
        <f t="array" ref="C290">IFERROR(INDEX('03.Muestra'!$F$8:$F$42,SMALL(IF("Página Web"='03.Muestra'!$D$8:$D$42,ROW('03.Muestra'!$F$8:$F$42)-MIN(ROW('03.Muestra'!$D$8:$D$42))+1,""),ROW()-284)),"")</f>
        <v xml:space="preserve">https://www.crtm.es/muevete-por-madrid/conexiones-con-aeropuerto-y-principales-estaciones/ </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desplazados Ucranianos</v>
      </c>
      <c r="C291" s="114" t="str" cm="1">
        <f t="array" ref="C291">IFERROR(INDEX('03.Muestra'!$F$8:$F$42,SMALL(IF("Página Web"='03.Muestra'!$D$8:$D$42,ROW('03.Muestra'!$F$8:$F$42)-MIN(ROW('03.Muestra'!$D$8:$D$42))+1,""),ROW()-284)),"")</f>
        <v>https://www.crtm.es/atencion-desplazados-ucranianos/#item3</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Preguntas frecuentes (Tarjeta transporte público personal)</v>
      </c>
      <c r="C292" s="114" t="str" cm="1">
        <f t="array" ref="C292">IFERROR(INDEX('03.Muestra'!$F$8:$F$42,SMALL(IF("Página Web"='03.Muestra'!$D$8:$D$42,ROW('03.Muestra'!$F$8:$F$42)-MIN(ROW('03.Muestra'!$D$8:$D$42))+1,""),ROW()-284)),"")</f>
        <v xml:space="preserve"> https://www.crtm.es/billetes-y-tarifas/tarjeta-transporte-publico/preguntas-frecuentes/#item23</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Billetes y abonos (Metro)</v>
      </c>
      <c r="C293" s="114" t="str" cm="1">
        <f t="array" ref="C293">IFERROR(INDEX('03.Muestra'!$F$8:$F$42,SMALL(IF("Página Web"='03.Muestra'!$D$8:$D$42,ROW('03.Muestra'!$F$8:$F$42)-MIN(ROW('03.Muestra'!$D$8:$D$42))+1,""),ROW()-284)),"")</f>
        <v>https://www.crtm.es/billetes-y-tarifas/billetes-y-abonos/metro/?idPestana=1&amp;lang=#item10</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Billetes y tarifas (App)</v>
      </c>
      <c r="C294" s="114" t="str" cm="1">
        <f t="array" ref="C294">IFERROR(INDEX('03.Muestra'!$F$8:$F$42,SMALL(IF("Página Web"='03.Muestra'!$D$8:$D$42,ROW('03.Muestra'!$F$8:$F$42)-MIN(ROW('03.Muestra'!$D$8:$D$42))+1,""),ROW()-284)),"")</f>
        <v>https://www.crtm.es/billetes-y-tarifas/apps/</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Atención al cliente</v>
      </c>
      <c r="C295" s="114" t="str" cm="1">
        <f t="array" ref="C295">IFERROR(INDEX('03.Muestra'!$F$8:$F$42,SMALL(IF("Página Web"='03.Muestra'!$D$8:$D$42,ROW('03.Muestra'!$F$8:$F$42)-MIN(ROW('03.Muestra'!$D$8:$D$42))+1,""),ROW()-284)),"")</f>
        <v>https://www.crtm.es/atencion-al-cliente/</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Conócenos</v>
      </c>
      <c r="C296" s="114" t="str" cm="1">
        <f t="array" ref="C296">IFERROR(INDEX('03.Muestra'!$F$8:$F$42,SMALL(IF("Página Web"='03.Muestra'!$D$8:$D$42,ROW('03.Muestra'!$F$8:$F$42)-MIN(ROW('03.Muestra'!$D$8:$D$42))+1,""),ROW()-284)),"")</f>
        <v>https://www.crtm.es/conocenos/#CentrodeDocumentacion</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Actualidad del servicio</v>
      </c>
      <c r="C297" s="114" t="str" cm="1">
        <f t="array" ref="C297">IFERROR(INDEX('03.Muestra'!$F$8:$F$42,SMALL(IF("Página Web"='03.Muestra'!$D$8:$D$42,ROW('03.Muestra'!$F$8:$F$42)-MIN(ROW('03.Muestra'!$D$8:$D$42))+1,""),ROW()-284)),"")</f>
        <v>https://www.crtm.es/comunicacion/actualidad-del-servicio/?idPestana=1&amp;lang=es</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Galería de fotos</v>
      </c>
      <c r="C298" s="114" t="str" cm="1">
        <f t="array" ref="C298">IFERROR(INDEX('03.Muestra'!$F$8:$F$42,SMALL(IF("Página Web"='03.Muestra'!$D$8:$D$42,ROW('03.Muestra'!$F$8:$F$42)-MIN(ROW('03.Muestra'!$D$8:$D$42))+1,""),ROW()-284)),"")</f>
        <v>https://www.crtm.es/comunicacion/multimedia/galeria-de-fotos/</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Mapa web</v>
      </c>
      <c r="C299" s="114" t="str" cm="1">
        <f t="array" ref="C299">IFERROR(INDEX('03.Muestra'!$F$8:$F$42,SMALL(IF("Página Web"='03.Muestra'!$D$8:$D$42,ROW('03.Muestra'!$F$8:$F$42)-MIN(ROW('03.Muestra'!$D$8:$D$42))+1,""),ROW()-284)),"")</f>
        <v>https://www.crtm.es/mapa-web</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Protección de datos</v>
      </c>
      <c r="C300" s="114" t="str" cm="1">
        <f t="array" ref="C300">IFERROR(INDEX('03.Muestra'!$F$8:$F$42,SMALL(IF("Página Web"='03.Muestra'!$D$8:$D$42,ROW('03.Muestra'!$F$8:$F$42)-MIN(ROW('03.Muestra'!$D$8:$D$42))+1,""),ROW()-284)),"")</f>
        <v>https://www.crtm.es/proteccion-de-datos</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Política de cookies</v>
      </c>
      <c r="C301" s="114" t="str" cm="1">
        <f t="array" ref="C301">IFERROR(INDEX('03.Muestra'!$F$8:$F$42,SMALL(IF("Página Web"='03.Muestra'!$D$8:$D$42,ROW('03.Muestra'!$F$8:$F$42)-MIN(ROW('03.Muestra'!$D$8:$D$42))+1,""),ROW()-284)),"")</f>
        <v>https://www.crtm.es/politica-de-cookies</v>
      </c>
      <c r="D301" s="130" t="s">
        <v>34</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Aviso Legal</v>
      </c>
      <c r="C302" s="114" t="str" cm="1">
        <f t="array" ref="C302">IFERROR(INDEX('03.Muestra'!$F$8:$F$42,SMALL(IF("Página Web"='03.Muestra'!$D$8:$D$42,ROW('03.Muestra'!$F$8:$F$42)-MIN(ROW('03.Muestra'!$D$8:$D$42))+1,""),ROW()-284)),"")</f>
        <v>https://www.crtm.es/aviso-legal</v>
      </c>
      <c r="D302" s="130" t="s">
        <v>34</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Normativa</v>
      </c>
      <c r="C303" s="114" t="str" cm="1">
        <f t="array" ref="C303">IFERROR(INDEX('03.Muestra'!$F$8:$F$42,SMALL(IF("Página Web"='03.Muestra'!$D$8:$D$42,ROW('03.Muestra'!$F$8:$F$42)-MIN(ROW('03.Muestra'!$D$8:$D$42))+1,""),ROW()-284)),"")</f>
        <v>https://www.crtm.es/normativa</v>
      </c>
      <c r="D303" s="130" t="s">
        <v>34</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Accesibilidad</v>
      </c>
      <c r="C304" s="114" t="str" cm="1">
        <f t="array" ref="C304">IFERROR(INDEX('03.Muestra'!$F$8:$F$42,SMALL(IF("Página Web"='03.Muestra'!$D$8:$D$42,ROW('03.Muestra'!$F$8:$F$42)-MIN(ROW('03.Muestra'!$D$8:$D$42))+1,""),ROW()-284)),"")</f>
        <v>https://www.crtm.es/accesibilidad</v>
      </c>
      <c r="D304" s="130" t="s">
        <v>34</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cm="1">
        <f t="array" ref="A305">IFERROR(INDEX('03.Muestra'!$B$8:$B$42,SMALL(IF("Página Web"='03.Muestra'!$D$8:$D$42,ROW('03.Muestra'!$B$8:$B$42)-MIN(ROW('03.Muestra'!$D$8:$D$42))+1,""),ROW()-284)),"")</f>
        <v>21</v>
      </c>
      <c r="B305" s="114" t="str" cm="1">
        <f t="array" ref="B305">IFERROR(INDEX('03.Muestra'!$C$8:$C$42,SMALL(IF("Página Web"='03.Muestra'!$D$8:$D$42,ROW('03.Muestra'!$C$8:$C$42)-MIN(ROW('03.Muestra'!$D$8:$D$42))+1,""),ROW()-284)),"")</f>
        <v>Modo accesible</v>
      </c>
      <c r="C305" s="114" t="str" cm="1">
        <f t="array" ref="C305">IFERROR(INDEX('03.Muestra'!$F$8:$F$42,SMALL(IF("Página Web"='03.Muestra'!$D$8:$D$42,ROW('03.Muestra'!$F$8:$F$42)-MIN(ROW('03.Muestra'!$D$8:$D$42))+1,""),ROW()-284)),"")</f>
        <v>https://www.crtm.es/</v>
      </c>
      <c r="D305" s="130" t="s">
        <v>34</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ref="D306:D319" si="15">IF(AND(B306&lt;&gt;"",C306&lt;&gt;""),"N/T","")</f>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https://www.crtm.es/</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Red de metro</v>
      </c>
      <c r="C324" s="114" t="str" cm="1">
        <f t="array" ref="C324">IFERROR(INDEX('03.Muestra'!$F$8:$F$42,SMALL(IF("Página Web"='03.Muestra'!$D$8:$D$42,ROW('03.Muestra'!$F$8:$F$42)-MIN(ROW('03.Muestra'!$D$8:$D$42))+1,""),ROW()-322)),"")</f>
        <v>https://www.crtm.es/tu-transporte-publico/metro/</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21</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Líneas de metro</v>
      </c>
      <c r="C325" s="114" t="str" cm="1">
        <f t="array" ref="C325">IFERROR(INDEX('03.Muestra'!$F$8:$F$42,SMALL(IF("Página Web"='03.Muestra'!$D$8:$D$42,ROW('03.Muestra'!$F$8:$F$42)-MIN(ROW('03.Muestra'!$D$8:$D$42))+1,""),ROW()-322)),"")</f>
        <v>https://www.crtm.es/tu-transporte-publico/metro/lineas/4__1___</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Estaciones Aeropuerto T1-T2-T3</v>
      </c>
      <c r="C326" s="114" t="str" cm="1">
        <f t="array" ref="C326">IFERROR(INDEX('03.Muestra'!$F$8:$F$42,SMALL(IF("Página Web"='03.Muestra'!$D$8:$D$42,ROW('03.Muestra'!$F$8:$F$42)-MIN(ROW('03.Muestra'!$D$8:$D$42))+1,""),ROW()-322)),"")</f>
        <v>https://www.crtm.es/tu-transporte-publico/metro/estaciones/4_159</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Muévete por Madrid</v>
      </c>
      <c r="C327" s="114" t="str" cm="1">
        <f t="array" ref="C327">IFERROR(INDEX('03.Muestra'!$F$8:$F$42,SMALL(IF("Página Web"='03.Muestra'!$D$8:$D$42,ROW('03.Muestra'!$F$8:$F$42)-MIN(ROW('03.Muestra'!$D$8:$D$42))+1,""),ROW()-322)),"")</f>
        <v>https://www.crtm.es/muevete-por-madrid/</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conexiones con aeropuerto y principales estaciones</v>
      </c>
      <c r="C328" s="114" t="str" cm="1">
        <f t="array" ref="C328">IFERROR(INDEX('03.Muestra'!$F$8:$F$42,SMALL(IF("Página Web"='03.Muestra'!$D$8:$D$42,ROW('03.Muestra'!$F$8:$F$42)-MIN(ROW('03.Muestra'!$D$8:$D$42))+1,""),ROW()-322)),"")</f>
        <v xml:space="preserve">https://www.crtm.es/muevete-por-madrid/conexiones-con-aeropuerto-y-principales-estaciones/ </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desplazados Ucranianos</v>
      </c>
      <c r="C329" s="114" t="str" cm="1">
        <f t="array" ref="C329">IFERROR(INDEX('03.Muestra'!$F$8:$F$42,SMALL(IF("Página Web"='03.Muestra'!$D$8:$D$42,ROW('03.Muestra'!$F$8:$F$42)-MIN(ROW('03.Muestra'!$D$8:$D$42))+1,""),ROW()-322)),"")</f>
        <v>https://www.crtm.es/atencion-desplazados-ucranianos/#item3</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Preguntas frecuentes (Tarjeta transporte público personal)</v>
      </c>
      <c r="C330" s="114" t="str" cm="1">
        <f t="array" ref="C330">IFERROR(INDEX('03.Muestra'!$F$8:$F$42,SMALL(IF("Página Web"='03.Muestra'!$D$8:$D$42,ROW('03.Muestra'!$F$8:$F$42)-MIN(ROW('03.Muestra'!$D$8:$D$42))+1,""),ROW()-322)),"")</f>
        <v xml:space="preserve"> https://www.crtm.es/billetes-y-tarifas/tarjeta-transporte-publico/preguntas-frecuentes/#item23</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Billetes y abonos (Metro)</v>
      </c>
      <c r="C331" s="114" t="str" cm="1">
        <f t="array" ref="C331">IFERROR(INDEX('03.Muestra'!$F$8:$F$42,SMALL(IF("Página Web"='03.Muestra'!$D$8:$D$42,ROW('03.Muestra'!$F$8:$F$42)-MIN(ROW('03.Muestra'!$D$8:$D$42))+1,""),ROW()-322)),"")</f>
        <v>https://www.crtm.es/billetes-y-tarifas/billetes-y-abonos/metro/?idPestana=1&amp;lang=#item10</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Billetes y tarifas (App)</v>
      </c>
      <c r="C332" s="114" t="str" cm="1">
        <f t="array" ref="C332">IFERROR(INDEX('03.Muestra'!$F$8:$F$42,SMALL(IF("Página Web"='03.Muestra'!$D$8:$D$42,ROW('03.Muestra'!$F$8:$F$42)-MIN(ROW('03.Muestra'!$D$8:$D$42))+1,""),ROW()-322)),"")</f>
        <v>https://www.crtm.es/billetes-y-tarifas/apps/</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Atención al cliente</v>
      </c>
      <c r="C333" s="114" t="str" cm="1">
        <f t="array" ref="C333">IFERROR(INDEX('03.Muestra'!$F$8:$F$42,SMALL(IF("Página Web"='03.Muestra'!$D$8:$D$42,ROW('03.Muestra'!$F$8:$F$42)-MIN(ROW('03.Muestra'!$D$8:$D$42))+1,""),ROW()-322)),"")</f>
        <v>https://www.crtm.es/atencion-al-cliente/</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Conócenos</v>
      </c>
      <c r="C334" s="114" t="str" cm="1">
        <f t="array" ref="C334">IFERROR(INDEX('03.Muestra'!$F$8:$F$42,SMALL(IF("Página Web"='03.Muestra'!$D$8:$D$42,ROW('03.Muestra'!$F$8:$F$42)-MIN(ROW('03.Muestra'!$D$8:$D$42))+1,""),ROW()-322)),"")</f>
        <v>https://www.crtm.es/conocenos/#CentrodeDocumentacion</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Actualidad del servicio</v>
      </c>
      <c r="C335" s="114" t="str" cm="1">
        <f t="array" ref="C335">IFERROR(INDEX('03.Muestra'!$F$8:$F$42,SMALL(IF("Página Web"='03.Muestra'!$D$8:$D$42,ROW('03.Muestra'!$F$8:$F$42)-MIN(ROW('03.Muestra'!$D$8:$D$42))+1,""),ROW()-322)),"")</f>
        <v>https://www.crtm.es/comunicacion/actualidad-del-servicio/?idPestana=1&amp;lang=es</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Galería de fotos</v>
      </c>
      <c r="C336" s="114" t="str" cm="1">
        <f t="array" ref="C336">IFERROR(INDEX('03.Muestra'!$F$8:$F$42,SMALL(IF("Página Web"='03.Muestra'!$D$8:$D$42,ROW('03.Muestra'!$F$8:$F$42)-MIN(ROW('03.Muestra'!$D$8:$D$42))+1,""),ROW()-322)),"")</f>
        <v>https://www.crtm.es/comunicacion/multimedia/galeria-de-fotos/</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Mapa web</v>
      </c>
      <c r="C337" s="114" t="str" cm="1">
        <f t="array" ref="C337">IFERROR(INDEX('03.Muestra'!$F$8:$F$42,SMALL(IF("Página Web"='03.Muestra'!$D$8:$D$42,ROW('03.Muestra'!$F$8:$F$42)-MIN(ROW('03.Muestra'!$D$8:$D$42))+1,""),ROW()-322)),"")</f>
        <v>https://www.crtm.es/mapa-web</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Protección de datos</v>
      </c>
      <c r="C338" s="114" t="str" cm="1">
        <f t="array" ref="C338">IFERROR(INDEX('03.Muestra'!$F$8:$F$42,SMALL(IF("Página Web"='03.Muestra'!$D$8:$D$42,ROW('03.Muestra'!$F$8:$F$42)-MIN(ROW('03.Muestra'!$D$8:$D$42))+1,""),ROW()-322)),"")</f>
        <v>https://www.crtm.es/proteccion-de-datos</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Política de cookies</v>
      </c>
      <c r="C339" s="114" t="str" cm="1">
        <f t="array" ref="C339">IFERROR(INDEX('03.Muestra'!$F$8:$F$42,SMALL(IF("Página Web"='03.Muestra'!$D$8:$D$42,ROW('03.Muestra'!$F$8:$F$42)-MIN(ROW('03.Muestra'!$D$8:$D$42))+1,""),ROW()-322)),"")</f>
        <v>https://www.crtm.es/politica-de-cookies</v>
      </c>
      <c r="D339" s="130" t="s">
        <v>34</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Aviso Legal</v>
      </c>
      <c r="C340" s="114" t="str" cm="1">
        <f t="array" ref="C340">IFERROR(INDEX('03.Muestra'!$F$8:$F$42,SMALL(IF("Página Web"='03.Muestra'!$D$8:$D$42,ROW('03.Muestra'!$F$8:$F$42)-MIN(ROW('03.Muestra'!$D$8:$D$42))+1,""),ROW()-322)),"")</f>
        <v>https://www.crtm.es/aviso-legal</v>
      </c>
      <c r="D340" s="130" t="s">
        <v>34</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Normativa</v>
      </c>
      <c r="C341" s="114" t="str" cm="1">
        <f t="array" ref="C341">IFERROR(INDEX('03.Muestra'!$F$8:$F$42,SMALL(IF("Página Web"='03.Muestra'!$D$8:$D$42,ROW('03.Muestra'!$F$8:$F$42)-MIN(ROW('03.Muestra'!$D$8:$D$42))+1,""),ROW()-322)),"")</f>
        <v>https://www.crtm.es/normativa</v>
      </c>
      <c r="D341" s="130" t="s">
        <v>34</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Accesibilidad</v>
      </c>
      <c r="C342" s="114" t="str" cm="1">
        <f t="array" ref="C342">IFERROR(INDEX('03.Muestra'!$F$8:$F$42,SMALL(IF("Página Web"='03.Muestra'!$D$8:$D$42,ROW('03.Muestra'!$F$8:$F$42)-MIN(ROW('03.Muestra'!$D$8:$D$42))+1,""),ROW()-322)),"")</f>
        <v>https://www.crtm.es/accesibilidad</v>
      </c>
      <c r="D342" s="130" t="s">
        <v>34</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cm="1">
        <f t="array" ref="A343">IFERROR(INDEX('03.Muestra'!$B$8:$B$42,SMALL(IF("Página Web"='03.Muestra'!$D$8:$D$42,ROW('03.Muestra'!$B$8:$B$42)-MIN(ROW('03.Muestra'!$D$8:$D$42))+1,""),ROW()-322)),"")</f>
        <v>21</v>
      </c>
      <c r="B343" s="114" t="str" cm="1">
        <f t="array" ref="B343">IFERROR(INDEX('03.Muestra'!$C$8:$C$42,SMALL(IF("Página Web"='03.Muestra'!$D$8:$D$42,ROW('03.Muestra'!$C$8:$C$42)-MIN(ROW('03.Muestra'!$D$8:$D$42))+1,""),ROW()-322)),"")</f>
        <v>Modo accesible</v>
      </c>
      <c r="C343" s="114" t="str" cm="1">
        <f t="array" ref="C343">IFERROR(INDEX('03.Muestra'!$F$8:$F$42,SMALL(IF("Página Web"='03.Muestra'!$D$8:$D$42,ROW('03.Muestra'!$F$8:$F$42)-MIN(ROW('03.Muestra'!$D$8:$D$42))+1,""),ROW()-322)),"")</f>
        <v>https://www.crtm.es/</v>
      </c>
      <c r="D343" s="130" t="s">
        <v>34</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ref="D344:D357" si="17">IF(AND(B344&lt;&gt;"",C344&lt;&gt;""),"N/T","")</f>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https://www.crtm.es/</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Red de metro</v>
      </c>
      <c r="C362" s="114" t="str" cm="1">
        <f t="array" ref="C362">IFERROR(INDEX('03.Muestra'!$F$8:$F$42,SMALL(IF("Página Web"='03.Muestra'!$D$8:$D$42,ROW('03.Muestra'!$F$8:$F$42)-MIN(ROW('03.Muestra'!$D$8:$D$42))+1,""),ROW()-360)),"")</f>
        <v>https://www.crtm.es/tu-transporte-publico/metro/</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21</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Líneas de metro</v>
      </c>
      <c r="C363" s="114" t="str" cm="1">
        <f t="array" ref="C363">IFERROR(INDEX('03.Muestra'!$F$8:$F$42,SMALL(IF("Página Web"='03.Muestra'!$D$8:$D$42,ROW('03.Muestra'!$F$8:$F$42)-MIN(ROW('03.Muestra'!$D$8:$D$42))+1,""),ROW()-360)),"")</f>
        <v>https://www.crtm.es/tu-transporte-publico/metro/lineas/4__1___</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Estaciones Aeropuerto T1-T2-T3</v>
      </c>
      <c r="C364" s="114" t="str" cm="1">
        <f t="array" ref="C364">IFERROR(INDEX('03.Muestra'!$F$8:$F$42,SMALL(IF("Página Web"='03.Muestra'!$D$8:$D$42,ROW('03.Muestra'!$F$8:$F$42)-MIN(ROW('03.Muestra'!$D$8:$D$42))+1,""),ROW()-360)),"")</f>
        <v>https://www.crtm.es/tu-transporte-publico/metro/estaciones/4_159</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Muévete por Madrid</v>
      </c>
      <c r="C365" s="114" t="str" cm="1">
        <f t="array" ref="C365">IFERROR(INDEX('03.Muestra'!$F$8:$F$42,SMALL(IF("Página Web"='03.Muestra'!$D$8:$D$42,ROW('03.Muestra'!$F$8:$F$42)-MIN(ROW('03.Muestra'!$D$8:$D$42))+1,""),ROW()-360)),"")</f>
        <v>https://www.crtm.es/muevete-por-madrid/</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conexiones con aeropuerto y principales estaciones</v>
      </c>
      <c r="C366" s="114" t="str" cm="1">
        <f t="array" ref="C366">IFERROR(INDEX('03.Muestra'!$F$8:$F$42,SMALL(IF("Página Web"='03.Muestra'!$D$8:$D$42,ROW('03.Muestra'!$F$8:$F$42)-MIN(ROW('03.Muestra'!$D$8:$D$42))+1,""),ROW()-360)),"")</f>
        <v xml:space="preserve">https://www.crtm.es/muevete-por-madrid/conexiones-con-aeropuerto-y-principales-estaciones/ </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Atención desplazados Ucranianos</v>
      </c>
      <c r="C367" s="114" t="str" cm="1">
        <f t="array" ref="C367">IFERROR(INDEX('03.Muestra'!$F$8:$F$42,SMALL(IF("Página Web"='03.Muestra'!$D$8:$D$42,ROW('03.Muestra'!$F$8:$F$42)-MIN(ROW('03.Muestra'!$D$8:$D$42))+1,""),ROW()-360)),"")</f>
        <v>https://www.crtm.es/atencion-desplazados-ucranianos/#item3</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Preguntas frecuentes (Tarjeta transporte público personal)</v>
      </c>
      <c r="C368" s="114" t="str" cm="1">
        <f t="array" ref="C368">IFERROR(INDEX('03.Muestra'!$F$8:$F$42,SMALL(IF("Página Web"='03.Muestra'!$D$8:$D$42,ROW('03.Muestra'!$F$8:$F$42)-MIN(ROW('03.Muestra'!$D$8:$D$42))+1,""),ROW()-360)),"")</f>
        <v xml:space="preserve"> https://www.crtm.es/billetes-y-tarifas/tarjeta-transporte-publico/preguntas-frecuentes/#item23</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Billetes y abonos (Metro)</v>
      </c>
      <c r="C369" s="114" t="str" cm="1">
        <f t="array" ref="C369">IFERROR(INDEX('03.Muestra'!$F$8:$F$42,SMALL(IF("Página Web"='03.Muestra'!$D$8:$D$42,ROW('03.Muestra'!$F$8:$F$42)-MIN(ROW('03.Muestra'!$D$8:$D$42))+1,""),ROW()-360)),"")</f>
        <v>https://www.crtm.es/billetes-y-tarifas/billetes-y-abonos/metro/?idPestana=1&amp;lang=#item10</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Billetes y tarifas (App)</v>
      </c>
      <c r="C370" s="114" t="str" cm="1">
        <f t="array" ref="C370">IFERROR(INDEX('03.Muestra'!$F$8:$F$42,SMALL(IF("Página Web"='03.Muestra'!$D$8:$D$42,ROW('03.Muestra'!$F$8:$F$42)-MIN(ROW('03.Muestra'!$D$8:$D$42))+1,""),ROW()-360)),"")</f>
        <v>https://www.crtm.es/billetes-y-tarifas/apps/</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Atención al cliente</v>
      </c>
      <c r="C371" s="114" t="str" cm="1">
        <f t="array" ref="C371">IFERROR(INDEX('03.Muestra'!$F$8:$F$42,SMALL(IF("Página Web"='03.Muestra'!$D$8:$D$42,ROW('03.Muestra'!$F$8:$F$42)-MIN(ROW('03.Muestra'!$D$8:$D$42))+1,""),ROW()-360)),"")</f>
        <v>https://www.crtm.es/atencion-al-cliente/</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Conócenos</v>
      </c>
      <c r="C372" s="114" t="str" cm="1">
        <f t="array" ref="C372">IFERROR(INDEX('03.Muestra'!$F$8:$F$42,SMALL(IF("Página Web"='03.Muestra'!$D$8:$D$42,ROW('03.Muestra'!$F$8:$F$42)-MIN(ROW('03.Muestra'!$D$8:$D$42))+1,""),ROW()-360)),"")</f>
        <v>https://www.crtm.es/conocenos/#CentrodeDocumentacion</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Actualidad del servicio</v>
      </c>
      <c r="C373" s="114" t="str" cm="1">
        <f t="array" ref="C373">IFERROR(INDEX('03.Muestra'!$F$8:$F$42,SMALL(IF("Página Web"='03.Muestra'!$D$8:$D$42,ROW('03.Muestra'!$F$8:$F$42)-MIN(ROW('03.Muestra'!$D$8:$D$42))+1,""),ROW()-360)),"")</f>
        <v>https://www.crtm.es/comunicacion/actualidad-del-servicio/?idPestana=1&amp;lang=es</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Galería de fotos</v>
      </c>
      <c r="C374" s="114" t="str" cm="1">
        <f t="array" ref="C374">IFERROR(INDEX('03.Muestra'!$F$8:$F$42,SMALL(IF("Página Web"='03.Muestra'!$D$8:$D$42,ROW('03.Muestra'!$F$8:$F$42)-MIN(ROW('03.Muestra'!$D$8:$D$42))+1,""),ROW()-360)),"")</f>
        <v>https://www.crtm.es/comunicacion/multimedia/galeria-de-fotos/</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Mapa web</v>
      </c>
      <c r="C375" s="114" t="str" cm="1">
        <f t="array" ref="C375">IFERROR(INDEX('03.Muestra'!$F$8:$F$42,SMALL(IF("Página Web"='03.Muestra'!$D$8:$D$42,ROW('03.Muestra'!$F$8:$F$42)-MIN(ROW('03.Muestra'!$D$8:$D$42))+1,""),ROW()-360)),"")</f>
        <v>https://www.crtm.es/mapa-web</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Protección de datos</v>
      </c>
      <c r="C376" s="114" t="str" cm="1">
        <f t="array" ref="C376">IFERROR(INDEX('03.Muestra'!$F$8:$F$42,SMALL(IF("Página Web"='03.Muestra'!$D$8:$D$42,ROW('03.Muestra'!$F$8:$F$42)-MIN(ROW('03.Muestra'!$D$8:$D$42))+1,""),ROW()-360)),"")</f>
        <v>https://www.crtm.es/proteccion-de-datos</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Política de cookies</v>
      </c>
      <c r="C377" s="114" t="str" cm="1">
        <f t="array" ref="C377">IFERROR(INDEX('03.Muestra'!$F$8:$F$42,SMALL(IF("Página Web"='03.Muestra'!$D$8:$D$42,ROW('03.Muestra'!$F$8:$F$42)-MIN(ROW('03.Muestra'!$D$8:$D$42))+1,""),ROW()-360)),"")</f>
        <v>https://www.crtm.es/politica-de-cookies</v>
      </c>
      <c r="D377" s="130" t="s">
        <v>34</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Aviso Legal</v>
      </c>
      <c r="C378" s="114" t="str" cm="1">
        <f t="array" ref="C378">IFERROR(INDEX('03.Muestra'!$F$8:$F$42,SMALL(IF("Página Web"='03.Muestra'!$D$8:$D$42,ROW('03.Muestra'!$F$8:$F$42)-MIN(ROW('03.Muestra'!$D$8:$D$42))+1,""),ROW()-360)),"")</f>
        <v>https://www.crtm.es/aviso-legal</v>
      </c>
      <c r="D378" s="130" t="s">
        <v>34</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Normativa</v>
      </c>
      <c r="C379" s="114" t="str" cm="1">
        <f t="array" ref="C379">IFERROR(INDEX('03.Muestra'!$F$8:$F$42,SMALL(IF("Página Web"='03.Muestra'!$D$8:$D$42,ROW('03.Muestra'!$F$8:$F$42)-MIN(ROW('03.Muestra'!$D$8:$D$42))+1,""),ROW()-360)),"")</f>
        <v>https://www.crtm.es/normativa</v>
      </c>
      <c r="D379" s="130" t="s">
        <v>34</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Accesibilidad</v>
      </c>
      <c r="C380" s="114" t="str" cm="1">
        <f t="array" ref="C380">IFERROR(INDEX('03.Muestra'!$F$8:$F$42,SMALL(IF("Página Web"='03.Muestra'!$D$8:$D$42,ROW('03.Muestra'!$F$8:$F$42)-MIN(ROW('03.Muestra'!$D$8:$D$42))+1,""),ROW()-360)),"")</f>
        <v>https://www.crtm.es/accesibilidad</v>
      </c>
      <c r="D380" s="130" t="s">
        <v>34</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cm="1">
        <f t="array" ref="A381">IFERROR(INDEX('03.Muestra'!$B$8:$B$42,SMALL(IF("Página Web"='03.Muestra'!$D$8:$D$42,ROW('03.Muestra'!$B$8:$B$42)-MIN(ROW('03.Muestra'!$D$8:$D$42))+1,""),ROW()-360)),"")</f>
        <v>21</v>
      </c>
      <c r="B381" s="114" t="str" cm="1">
        <f t="array" ref="B381">IFERROR(INDEX('03.Muestra'!$C$8:$C$42,SMALL(IF("Página Web"='03.Muestra'!$D$8:$D$42,ROW('03.Muestra'!$C$8:$C$42)-MIN(ROW('03.Muestra'!$D$8:$D$42))+1,""),ROW()-360)),"")</f>
        <v>Modo accesible</v>
      </c>
      <c r="C381" s="114" t="str" cm="1">
        <f t="array" ref="C381">IFERROR(INDEX('03.Muestra'!$F$8:$F$42,SMALL(IF("Página Web"='03.Muestra'!$D$8:$D$42,ROW('03.Muestra'!$F$8:$F$42)-MIN(ROW('03.Muestra'!$D$8:$D$42))+1,""),ROW()-360)),"")</f>
        <v>https://www.crtm.es/</v>
      </c>
      <c r="D381" s="130" t="s">
        <v>34</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ref="D382:D395" si="19">IF(AND(B382&lt;&gt;"",C382&lt;&gt;""),"N/T","")</f>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https://www.crtm.es/</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Red de metro</v>
      </c>
      <c r="C400" s="114" t="str" cm="1">
        <f t="array" ref="C400">IFERROR(INDEX('03.Muestra'!$F$8:$F$42,SMALL(IF("Página Web"='03.Muestra'!$D$8:$D$42,ROW('03.Muestra'!$F$8:$F$42)-MIN(ROW('03.Muestra'!$D$8:$D$42))+1,""),ROW()-398)),"")</f>
        <v>https://www.crtm.es/tu-transporte-publico/metro/</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21</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Líneas de metro</v>
      </c>
      <c r="C401" s="114" t="str" cm="1">
        <f t="array" ref="C401">IFERROR(INDEX('03.Muestra'!$F$8:$F$42,SMALL(IF("Página Web"='03.Muestra'!$D$8:$D$42,ROW('03.Muestra'!$F$8:$F$42)-MIN(ROW('03.Muestra'!$D$8:$D$42))+1,""),ROW()-398)),"")</f>
        <v>https://www.crtm.es/tu-transporte-publico/metro/lineas/4__1___</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Estaciones Aeropuerto T1-T2-T3</v>
      </c>
      <c r="C402" s="114" t="str" cm="1">
        <f t="array" ref="C402">IFERROR(INDEX('03.Muestra'!$F$8:$F$42,SMALL(IF("Página Web"='03.Muestra'!$D$8:$D$42,ROW('03.Muestra'!$F$8:$F$42)-MIN(ROW('03.Muestra'!$D$8:$D$42))+1,""),ROW()-398)),"")</f>
        <v>https://www.crtm.es/tu-transporte-publico/metro/estaciones/4_159</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Muévete por Madrid</v>
      </c>
      <c r="C403" s="114" t="str" cm="1">
        <f t="array" ref="C403">IFERROR(INDEX('03.Muestra'!$F$8:$F$42,SMALL(IF("Página Web"='03.Muestra'!$D$8:$D$42,ROW('03.Muestra'!$F$8:$F$42)-MIN(ROW('03.Muestra'!$D$8:$D$42))+1,""),ROW()-398)),"")</f>
        <v>https://www.crtm.es/muevete-por-madrid/</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conexiones con aeropuerto y principales estaciones</v>
      </c>
      <c r="C404" s="114" t="str" cm="1">
        <f t="array" ref="C404">IFERROR(INDEX('03.Muestra'!$F$8:$F$42,SMALL(IF("Página Web"='03.Muestra'!$D$8:$D$42,ROW('03.Muestra'!$F$8:$F$42)-MIN(ROW('03.Muestra'!$D$8:$D$42))+1,""),ROW()-398)),"")</f>
        <v xml:space="preserve">https://www.crtm.es/muevete-por-madrid/conexiones-con-aeropuerto-y-principales-estaciones/ </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Atención desplazados Ucranianos</v>
      </c>
      <c r="C405" s="114" t="str" cm="1">
        <f t="array" ref="C405">IFERROR(INDEX('03.Muestra'!$F$8:$F$42,SMALL(IF("Página Web"='03.Muestra'!$D$8:$D$42,ROW('03.Muestra'!$F$8:$F$42)-MIN(ROW('03.Muestra'!$D$8:$D$42))+1,""),ROW()-398)),"")</f>
        <v>https://www.crtm.es/atencion-desplazados-ucranianos/#item3</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Preguntas frecuentes (Tarjeta transporte público personal)</v>
      </c>
      <c r="C406" s="114" t="str" cm="1">
        <f t="array" ref="C406">IFERROR(INDEX('03.Muestra'!$F$8:$F$42,SMALL(IF("Página Web"='03.Muestra'!$D$8:$D$42,ROW('03.Muestra'!$F$8:$F$42)-MIN(ROW('03.Muestra'!$D$8:$D$42))+1,""),ROW()-398)),"")</f>
        <v xml:space="preserve"> https://www.crtm.es/billetes-y-tarifas/tarjeta-transporte-publico/preguntas-frecuentes/#item23</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Billetes y abonos (Metro)</v>
      </c>
      <c r="C407" s="114" t="str" cm="1">
        <f t="array" ref="C407">IFERROR(INDEX('03.Muestra'!$F$8:$F$42,SMALL(IF("Página Web"='03.Muestra'!$D$8:$D$42,ROW('03.Muestra'!$F$8:$F$42)-MIN(ROW('03.Muestra'!$D$8:$D$42))+1,""),ROW()-398)),"")</f>
        <v>https://www.crtm.es/billetes-y-tarifas/billetes-y-abonos/metro/?idPestana=1&amp;lang=#item10</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Billetes y tarifas (App)</v>
      </c>
      <c r="C408" s="114" t="str" cm="1">
        <f t="array" ref="C408">IFERROR(INDEX('03.Muestra'!$F$8:$F$42,SMALL(IF("Página Web"='03.Muestra'!$D$8:$D$42,ROW('03.Muestra'!$F$8:$F$42)-MIN(ROW('03.Muestra'!$D$8:$D$42))+1,""),ROW()-398)),"")</f>
        <v>https://www.crtm.es/billetes-y-tarifas/apps/</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Atención al cliente</v>
      </c>
      <c r="C409" s="114" t="str" cm="1">
        <f t="array" ref="C409">IFERROR(INDEX('03.Muestra'!$F$8:$F$42,SMALL(IF("Página Web"='03.Muestra'!$D$8:$D$42,ROW('03.Muestra'!$F$8:$F$42)-MIN(ROW('03.Muestra'!$D$8:$D$42))+1,""),ROW()-398)),"")</f>
        <v>https://www.crtm.es/atencion-al-cliente/</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Conócenos</v>
      </c>
      <c r="C410" s="114" t="str" cm="1">
        <f t="array" ref="C410">IFERROR(INDEX('03.Muestra'!$F$8:$F$42,SMALL(IF("Página Web"='03.Muestra'!$D$8:$D$42,ROW('03.Muestra'!$F$8:$F$42)-MIN(ROW('03.Muestra'!$D$8:$D$42))+1,""),ROW()-398)),"")</f>
        <v>https://www.crtm.es/conocenos/#CentrodeDocumentacion</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Actualidad del servicio</v>
      </c>
      <c r="C411" s="114" t="str" cm="1">
        <f t="array" ref="C411">IFERROR(INDEX('03.Muestra'!$F$8:$F$42,SMALL(IF("Página Web"='03.Muestra'!$D$8:$D$42,ROW('03.Muestra'!$F$8:$F$42)-MIN(ROW('03.Muestra'!$D$8:$D$42))+1,""),ROW()-398)),"")</f>
        <v>https://www.crtm.es/comunicacion/actualidad-del-servicio/?idPestana=1&amp;lang=es</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Galería de fotos</v>
      </c>
      <c r="C412" s="114" t="str" cm="1">
        <f t="array" ref="C412">IFERROR(INDEX('03.Muestra'!$F$8:$F$42,SMALL(IF("Página Web"='03.Muestra'!$D$8:$D$42,ROW('03.Muestra'!$F$8:$F$42)-MIN(ROW('03.Muestra'!$D$8:$D$42))+1,""),ROW()-398)),"")</f>
        <v>https://www.crtm.es/comunicacion/multimedia/galeria-de-fotos/</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Mapa web</v>
      </c>
      <c r="C413" s="114" t="str" cm="1">
        <f t="array" ref="C413">IFERROR(INDEX('03.Muestra'!$F$8:$F$42,SMALL(IF("Página Web"='03.Muestra'!$D$8:$D$42,ROW('03.Muestra'!$F$8:$F$42)-MIN(ROW('03.Muestra'!$D$8:$D$42))+1,""),ROW()-398)),"")</f>
        <v>https://www.crtm.es/mapa-web</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Protección de datos</v>
      </c>
      <c r="C414" s="114" t="str" cm="1">
        <f t="array" ref="C414">IFERROR(INDEX('03.Muestra'!$F$8:$F$42,SMALL(IF("Página Web"='03.Muestra'!$D$8:$D$42,ROW('03.Muestra'!$F$8:$F$42)-MIN(ROW('03.Muestra'!$D$8:$D$42))+1,""),ROW()-398)),"")</f>
        <v>https://www.crtm.es/proteccion-de-datos</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Política de cookies</v>
      </c>
      <c r="C415" s="114" t="str" cm="1">
        <f t="array" ref="C415">IFERROR(INDEX('03.Muestra'!$F$8:$F$42,SMALL(IF("Página Web"='03.Muestra'!$D$8:$D$42,ROW('03.Muestra'!$F$8:$F$42)-MIN(ROW('03.Muestra'!$D$8:$D$42))+1,""),ROW()-398)),"")</f>
        <v>https://www.crtm.es/politica-de-cookies</v>
      </c>
      <c r="D415" s="130" t="s">
        <v>34</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Aviso Legal</v>
      </c>
      <c r="C416" s="114" t="str" cm="1">
        <f t="array" ref="C416">IFERROR(INDEX('03.Muestra'!$F$8:$F$42,SMALL(IF("Página Web"='03.Muestra'!$D$8:$D$42,ROW('03.Muestra'!$F$8:$F$42)-MIN(ROW('03.Muestra'!$D$8:$D$42))+1,""),ROW()-398)),"")</f>
        <v>https://www.crtm.es/aviso-legal</v>
      </c>
      <c r="D416" s="130" t="s">
        <v>34</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Normativa</v>
      </c>
      <c r="C417" s="114" t="str" cm="1">
        <f t="array" ref="C417">IFERROR(INDEX('03.Muestra'!$F$8:$F$42,SMALL(IF("Página Web"='03.Muestra'!$D$8:$D$42,ROW('03.Muestra'!$F$8:$F$42)-MIN(ROW('03.Muestra'!$D$8:$D$42))+1,""),ROW()-398)),"")</f>
        <v>https://www.crtm.es/normativa</v>
      </c>
      <c r="D417" s="130" t="s">
        <v>34</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Accesibilidad</v>
      </c>
      <c r="C418" s="114" t="str" cm="1">
        <f t="array" ref="C418">IFERROR(INDEX('03.Muestra'!$F$8:$F$42,SMALL(IF("Página Web"='03.Muestra'!$D$8:$D$42,ROW('03.Muestra'!$F$8:$F$42)-MIN(ROW('03.Muestra'!$D$8:$D$42))+1,""),ROW()-398)),"")</f>
        <v>https://www.crtm.es/accesibilidad</v>
      </c>
      <c r="D418" s="130" t="s">
        <v>34</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cm="1">
        <f t="array" ref="A419">IFERROR(INDEX('03.Muestra'!$B$8:$B$42,SMALL(IF("Página Web"='03.Muestra'!$D$8:$D$42,ROW('03.Muestra'!$B$8:$B$42)-MIN(ROW('03.Muestra'!$D$8:$D$42))+1,""),ROW()-398)),"")</f>
        <v>21</v>
      </c>
      <c r="B419" s="114" t="str" cm="1">
        <f t="array" ref="B419">IFERROR(INDEX('03.Muestra'!$C$8:$C$42,SMALL(IF("Página Web"='03.Muestra'!$D$8:$D$42,ROW('03.Muestra'!$C$8:$C$42)-MIN(ROW('03.Muestra'!$D$8:$D$42))+1,""),ROW()-398)),"")</f>
        <v>Modo accesible</v>
      </c>
      <c r="C419" s="114" t="str" cm="1">
        <f t="array" ref="C419">IFERROR(INDEX('03.Muestra'!$F$8:$F$42,SMALL(IF("Página Web"='03.Muestra'!$D$8:$D$42,ROW('03.Muestra'!$F$8:$F$42)-MIN(ROW('03.Muestra'!$D$8:$D$42))+1,""),ROW()-398)),"")</f>
        <v>https://www.crtm.es/</v>
      </c>
      <c r="D419" s="130" t="s">
        <v>34</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ref="D420:D433" si="21">IF(AND(B420&lt;&gt;"",C420&lt;&gt;""),"N/T","")</f>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https://www.crtm.es/</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Red de metro</v>
      </c>
      <c r="C438" s="114" t="str" cm="1">
        <f t="array" ref="C438">IFERROR(INDEX('03.Muestra'!$F$8:$F$42,SMALL(IF("Página Web"='03.Muestra'!$D$8:$D$42,ROW('03.Muestra'!$F$8:$F$42)-MIN(ROW('03.Muestra'!$D$8:$D$42))+1,""),ROW()-436)),"")</f>
        <v>https://www.crtm.es/tu-transporte-publico/metro/</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21</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Líneas de metro</v>
      </c>
      <c r="C439" s="114" t="str" cm="1">
        <f t="array" ref="C439">IFERROR(INDEX('03.Muestra'!$F$8:$F$42,SMALL(IF("Página Web"='03.Muestra'!$D$8:$D$42,ROW('03.Muestra'!$F$8:$F$42)-MIN(ROW('03.Muestra'!$D$8:$D$42))+1,""),ROW()-436)),"")</f>
        <v>https://www.crtm.es/tu-transporte-publico/metro/lineas/4__1___</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Estaciones Aeropuerto T1-T2-T3</v>
      </c>
      <c r="C440" s="114" t="str" cm="1">
        <f t="array" ref="C440">IFERROR(INDEX('03.Muestra'!$F$8:$F$42,SMALL(IF("Página Web"='03.Muestra'!$D$8:$D$42,ROW('03.Muestra'!$F$8:$F$42)-MIN(ROW('03.Muestra'!$D$8:$D$42))+1,""),ROW()-436)),"")</f>
        <v>https://www.crtm.es/tu-transporte-publico/metro/estaciones/4_159</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Muévete por Madrid</v>
      </c>
      <c r="C441" s="114" t="str" cm="1">
        <f t="array" ref="C441">IFERROR(INDEX('03.Muestra'!$F$8:$F$42,SMALL(IF("Página Web"='03.Muestra'!$D$8:$D$42,ROW('03.Muestra'!$F$8:$F$42)-MIN(ROW('03.Muestra'!$D$8:$D$42))+1,""),ROW()-436)),"")</f>
        <v>https://www.crtm.es/muevete-por-madrid/</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conexiones con aeropuerto y principales estaciones</v>
      </c>
      <c r="C442" s="114" t="str" cm="1">
        <f t="array" ref="C442">IFERROR(INDEX('03.Muestra'!$F$8:$F$42,SMALL(IF("Página Web"='03.Muestra'!$D$8:$D$42,ROW('03.Muestra'!$F$8:$F$42)-MIN(ROW('03.Muestra'!$D$8:$D$42))+1,""),ROW()-436)),"")</f>
        <v xml:space="preserve">https://www.crtm.es/muevete-por-madrid/conexiones-con-aeropuerto-y-principales-estaciones/ </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Atención desplazados Ucranianos</v>
      </c>
      <c r="C443" s="114" t="str" cm="1">
        <f t="array" ref="C443">IFERROR(INDEX('03.Muestra'!$F$8:$F$42,SMALL(IF("Página Web"='03.Muestra'!$D$8:$D$42,ROW('03.Muestra'!$F$8:$F$42)-MIN(ROW('03.Muestra'!$D$8:$D$42))+1,""),ROW()-436)),"")</f>
        <v>https://www.crtm.es/atencion-desplazados-ucranianos/#item3</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Preguntas frecuentes (Tarjeta transporte público personal)</v>
      </c>
      <c r="C444" s="114" t="str" cm="1">
        <f t="array" ref="C444">IFERROR(INDEX('03.Muestra'!$F$8:$F$42,SMALL(IF("Página Web"='03.Muestra'!$D$8:$D$42,ROW('03.Muestra'!$F$8:$F$42)-MIN(ROW('03.Muestra'!$D$8:$D$42))+1,""),ROW()-436)),"")</f>
        <v xml:space="preserve"> https://www.crtm.es/billetes-y-tarifas/tarjeta-transporte-publico/preguntas-frecuentes/#item23</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Billetes y abonos (Metro)</v>
      </c>
      <c r="C445" s="114" t="str" cm="1">
        <f t="array" ref="C445">IFERROR(INDEX('03.Muestra'!$F$8:$F$42,SMALL(IF("Página Web"='03.Muestra'!$D$8:$D$42,ROW('03.Muestra'!$F$8:$F$42)-MIN(ROW('03.Muestra'!$D$8:$D$42))+1,""),ROW()-436)),"")</f>
        <v>https://www.crtm.es/billetes-y-tarifas/billetes-y-abonos/metro/?idPestana=1&amp;lang=#item10</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Billetes y tarifas (App)</v>
      </c>
      <c r="C446" s="114" t="str" cm="1">
        <f t="array" ref="C446">IFERROR(INDEX('03.Muestra'!$F$8:$F$42,SMALL(IF("Página Web"='03.Muestra'!$D$8:$D$42,ROW('03.Muestra'!$F$8:$F$42)-MIN(ROW('03.Muestra'!$D$8:$D$42))+1,""),ROW()-436)),"")</f>
        <v>https://www.crtm.es/billetes-y-tarifas/apps/</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Atención al cliente</v>
      </c>
      <c r="C447" s="114" t="str" cm="1">
        <f t="array" ref="C447">IFERROR(INDEX('03.Muestra'!$F$8:$F$42,SMALL(IF("Página Web"='03.Muestra'!$D$8:$D$42,ROW('03.Muestra'!$F$8:$F$42)-MIN(ROW('03.Muestra'!$D$8:$D$42))+1,""),ROW()-436)),"")</f>
        <v>https://www.crtm.es/atencion-al-cliente/</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Conócenos</v>
      </c>
      <c r="C448" s="114" t="str" cm="1">
        <f t="array" ref="C448">IFERROR(INDEX('03.Muestra'!$F$8:$F$42,SMALL(IF("Página Web"='03.Muestra'!$D$8:$D$42,ROW('03.Muestra'!$F$8:$F$42)-MIN(ROW('03.Muestra'!$D$8:$D$42))+1,""),ROW()-436)),"")</f>
        <v>https://www.crtm.es/conocenos/#CentrodeDocumentacion</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5"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Actualidad del servicio</v>
      </c>
      <c r="C449" s="114" t="str" cm="1">
        <f t="array" ref="C449">IFERROR(INDEX('03.Muestra'!$F$8:$F$42,SMALL(IF("Página Web"='03.Muestra'!$D$8:$D$42,ROW('03.Muestra'!$F$8:$F$42)-MIN(ROW('03.Muestra'!$D$8:$D$42))+1,""),ROW()-436)),"")</f>
        <v>https://www.crtm.es/comunicacion/actualidad-del-servicio/?idPestana=1&amp;lang=es</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5"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Galería de fotos</v>
      </c>
      <c r="C450" s="114" t="str" cm="1">
        <f t="array" ref="C450">IFERROR(INDEX('03.Muestra'!$F$8:$F$42,SMALL(IF("Página Web"='03.Muestra'!$D$8:$D$42,ROW('03.Muestra'!$F$8:$F$42)-MIN(ROW('03.Muestra'!$D$8:$D$42))+1,""),ROW()-436)),"")</f>
        <v>https://www.crtm.es/comunicacion/multimedia/galeria-de-fotos/</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5"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Mapa web</v>
      </c>
      <c r="C451" s="114" t="str" cm="1">
        <f t="array" ref="C451">IFERROR(INDEX('03.Muestra'!$F$8:$F$42,SMALL(IF("Página Web"='03.Muestra'!$D$8:$D$42,ROW('03.Muestra'!$F$8:$F$42)-MIN(ROW('03.Muestra'!$D$8:$D$42))+1,""),ROW()-436)),"")</f>
        <v>https://www.crtm.es/mapa-web</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5"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Protección de datos</v>
      </c>
      <c r="C452" s="114" t="str" cm="1">
        <f t="array" ref="C452">IFERROR(INDEX('03.Muestra'!$F$8:$F$42,SMALL(IF("Página Web"='03.Muestra'!$D$8:$D$42,ROW('03.Muestra'!$F$8:$F$42)-MIN(ROW('03.Muestra'!$D$8:$D$42))+1,""),ROW()-436)),"")</f>
        <v>https://www.crtm.es/proteccion-de-datos</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5"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Política de cookies</v>
      </c>
      <c r="C453" s="114" t="str" cm="1">
        <f t="array" ref="C453">IFERROR(INDEX('03.Muestra'!$F$8:$F$42,SMALL(IF("Página Web"='03.Muestra'!$D$8:$D$42,ROW('03.Muestra'!$F$8:$F$42)-MIN(ROW('03.Muestra'!$D$8:$D$42))+1,""),ROW()-436)),"")</f>
        <v>https://www.crtm.es/politica-de-cookies</v>
      </c>
      <c r="D453" s="130" t="s">
        <v>34</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5"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Aviso Legal</v>
      </c>
      <c r="C454" s="114" t="str" cm="1">
        <f t="array" ref="C454">IFERROR(INDEX('03.Muestra'!$F$8:$F$42,SMALL(IF("Página Web"='03.Muestra'!$D$8:$D$42,ROW('03.Muestra'!$F$8:$F$42)-MIN(ROW('03.Muestra'!$D$8:$D$42))+1,""),ROW()-436)),"")</f>
        <v>https://www.crtm.es/aviso-legal</v>
      </c>
      <c r="D454" s="130" t="s">
        <v>34</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5"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Normativa</v>
      </c>
      <c r="C455" s="114" t="str" cm="1">
        <f t="array" ref="C455">IFERROR(INDEX('03.Muestra'!$F$8:$F$42,SMALL(IF("Página Web"='03.Muestra'!$D$8:$D$42,ROW('03.Muestra'!$F$8:$F$42)-MIN(ROW('03.Muestra'!$D$8:$D$42))+1,""),ROW()-436)),"")</f>
        <v>https://www.crtm.es/normativa</v>
      </c>
      <c r="D455" s="130" t="s">
        <v>34</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5"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Accesibilidad</v>
      </c>
      <c r="C456" s="114" t="str" cm="1">
        <f t="array" ref="C456">IFERROR(INDEX('03.Muestra'!$F$8:$F$42,SMALL(IF("Página Web"='03.Muestra'!$D$8:$D$42,ROW('03.Muestra'!$F$8:$F$42)-MIN(ROW('03.Muestra'!$D$8:$D$42))+1,""),ROW()-436)),"")</f>
        <v>https://www.crtm.es/accesibilidad</v>
      </c>
      <c r="D456" s="130" t="s">
        <v>34</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5" customHeight="1">
      <c r="A457" s="219" cm="1">
        <f t="array" ref="A457">IFERROR(INDEX('03.Muestra'!$B$8:$B$42,SMALL(IF("Página Web"='03.Muestra'!$D$8:$D$42,ROW('03.Muestra'!$B$8:$B$42)-MIN(ROW('03.Muestra'!$D$8:$D$42))+1,""),ROW()-436)),"")</f>
        <v>21</v>
      </c>
      <c r="B457" s="114" t="str" cm="1">
        <f t="array" ref="B457">IFERROR(INDEX('03.Muestra'!$C$8:$C$42,SMALL(IF("Página Web"='03.Muestra'!$D$8:$D$42,ROW('03.Muestra'!$C$8:$C$42)-MIN(ROW('03.Muestra'!$D$8:$D$42))+1,""),ROW()-436)),"")</f>
        <v>Modo accesible</v>
      </c>
      <c r="C457" s="114" t="str" cm="1">
        <f t="array" ref="C457">IFERROR(INDEX('03.Muestra'!$F$8:$F$42,SMALL(IF("Página Web"='03.Muestra'!$D$8:$D$42,ROW('03.Muestra'!$F$8:$F$42)-MIN(ROW('03.Muestra'!$D$8:$D$42))+1,""),ROW()-436)),"")</f>
        <v>https://www.crtm.es/</v>
      </c>
      <c r="D457" s="130" t="s">
        <v>34</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ref="D458:D471" si="23">IF(AND(B458&lt;&gt;"",C458&lt;&gt;""),"N/T","")</f>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https://www.crtm.es/</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Red de metro</v>
      </c>
      <c r="C476" s="114" t="str" cm="1">
        <f t="array" ref="C476">IFERROR(INDEX('03.Muestra'!$F$8:$F$42,SMALL(IF("Página Web"='03.Muestra'!$D$8:$D$42,ROW('03.Muestra'!$F$8:$F$42)-MIN(ROW('03.Muestra'!$D$8:$D$42))+1,""),ROW()-474)),"")</f>
        <v>https://www.crtm.es/tu-transporte-publico/metro/</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21</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Líneas de metro</v>
      </c>
      <c r="C477" s="114" t="str" cm="1">
        <f t="array" ref="C477">IFERROR(INDEX('03.Muestra'!$F$8:$F$42,SMALL(IF("Página Web"='03.Muestra'!$D$8:$D$42,ROW('03.Muestra'!$F$8:$F$42)-MIN(ROW('03.Muestra'!$D$8:$D$42))+1,""),ROW()-474)),"")</f>
        <v>https://www.crtm.es/tu-transporte-publico/metro/lineas/4__1___</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Estaciones Aeropuerto T1-T2-T3</v>
      </c>
      <c r="C478" s="114" t="str" cm="1">
        <f t="array" ref="C478">IFERROR(INDEX('03.Muestra'!$F$8:$F$42,SMALL(IF("Página Web"='03.Muestra'!$D$8:$D$42,ROW('03.Muestra'!$F$8:$F$42)-MIN(ROW('03.Muestra'!$D$8:$D$42))+1,""),ROW()-474)),"")</f>
        <v>https://www.crtm.es/tu-transporte-publico/metro/estaciones/4_159</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Muévete por Madrid</v>
      </c>
      <c r="C479" s="114" t="str" cm="1">
        <f t="array" ref="C479">IFERROR(INDEX('03.Muestra'!$F$8:$F$42,SMALL(IF("Página Web"='03.Muestra'!$D$8:$D$42,ROW('03.Muestra'!$F$8:$F$42)-MIN(ROW('03.Muestra'!$D$8:$D$42))+1,""),ROW()-474)),"")</f>
        <v>https://www.crtm.es/muevete-por-madrid/</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conexiones con aeropuerto y principales estaciones</v>
      </c>
      <c r="C480" s="114" t="str" cm="1">
        <f t="array" ref="C480">IFERROR(INDEX('03.Muestra'!$F$8:$F$42,SMALL(IF("Página Web"='03.Muestra'!$D$8:$D$42,ROW('03.Muestra'!$F$8:$F$42)-MIN(ROW('03.Muestra'!$D$8:$D$42))+1,""),ROW()-474)),"")</f>
        <v xml:space="preserve">https://www.crtm.es/muevete-por-madrid/conexiones-con-aeropuerto-y-principales-estaciones/ </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Atención desplazados Ucranianos</v>
      </c>
      <c r="C481" s="114" t="str" cm="1">
        <f t="array" ref="C481">IFERROR(INDEX('03.Muestra'!$F$8:$F$42,SMALL(IF("Página Web"='03.Muestra'!$D$8:$D$42,ROW('03.Muestra'!$F$8:$F$42)-MIN(ROW('03.Muestra'!$D$8:$D$42))+1,""),ROW()-474)),"")</f>
        <v>https://www.crtm.es/atencion-desplazados-ucranianos/#item3</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Preguntas frecuentes (Tarjeta transporte público personal)</v>
      </c>
      <c r="C482" s="114" t="str" cm="1">
        <f t="array" ref="C482">IFERROR(INDEX('03.Muestra'!$F$8:$F$42,SMALL(IF("Página Web"='03.Muestra'!$D$8:$D$42,ROW('03.Muestra'!$F$8:$F$42)-MIN(ROW('03.Muestra'!$D$8:$D$42))+1,""),ROW()-474)),"")</f>
        <v xml:space="preserve"> https://www.crtm.es/billetes-y-tarifas/tarjeta-transporte-publico/preguntas-frecuentes/#item23</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Billetes y abonos (Metro)</v>
      </c>
      <c r="C483" s="114" t="str" cm="1">
        <f t="array" ref="C483">IFERROR(INDEX('03.Muestra'!$F$8:$F$42,SMALL(IF("Página Web"='03.Muestra'!$D$8:$D$42,ROW('03.Muestra'!$F$8:$F$42)-MIN(ROW('03.Muestra'!$D$8:$D$42))+1,""),ROW()-474)),"")</f>
        <v>https://www.crtm.es/billetes-y-tarifas/billetes-y-abonos/metro/?idPestana=1&amp;lang=#item10</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Billetes y tarifas (App)</v>
      </c>
      <c r="C484" s="114" t="str" cm="1">
        <f t="array" ref="C484">IFERROR(INDEX('03.Muestra'!$F$8:$F$42,SMALL(IF("Página Web"='03.Muestra'!$D$8:$D$42,ROW('03.Muestra'!$F$8:$F$42)-MIN(ROW('03.Muestra'!$D$8:$D$42))+1,""),ROW()-474)),"")</f>
        <v>https://www.crtm.es/billetes-y-tarifas/apps/</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Atención al cliente</v>
      </c>
      <c r="C485" s="114" t="str" cm="1">
        <f t="array" ref="C485">IFERROR(INDEX('03.Muestra'!$F$8:$F$42,SMALL(IF("Página Web"='03.Muestra'!$D$8:$D$42,ROW('03.Muestra'!$F$8:$F$42)-MIN(ROW('03.Muestra'!$D$8:$D$42))+1,""),ROW()-474)),"")</f>
        <v>https://www.crtm.es/atencion-al-cliente/</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Conócenos</v>
      </c>
      <c r="C486" s="114" t="str" cm="1">
        <f t="array" ref="C486">IFERROR(INDEX('03.Muestra'!$F$8:$F$42,SMALL(IF("Página Web"='03.Muestra'!$D$8:$D$42,ROW('03.Muestra'!$F$8:$F$42)-MIN(ROW('03.Muestra'!$D$8:$D$42))+1,""),ROW()-474)),"")</f>
        <v>https://www.crtm.es/conocenos/#CentrodeDocumentacion</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5"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Actualidad del servicio</v>
      </c>
      <c r="C487" s="114" t="str" cm="1">
        <f t="array" ref="C487">IFERROR(INDEX('03.Muestra'!$F$8:$F$42,SMALL(IF("Página Web"='03.Muestra'!$D$8:$D$42,ROW('03.Muestra'!$F$8:$F$42)-MIN(ROW('03.Muestra'!$D$8:$D$42))+1,""),ROW()-474)),"")</f>
        <v>https://www.crtm.es/comunicacion/actualidad-del-servicio/?idPestana=1&amp;lang=es</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5"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Galería de fotos</v>
      </c>
      <c r="C488" s="114" t="str" cm="1">
        <f t="array" ref="C488">IFERROR(INDEX('03.Muestra'!$F$8:$F$42,SMALL(IF("Página Web"='03.Muestra'!$D$8:$D$42,ROW('03.Muestra'!$F$8:$F$42)-MIN(ROW('03.Muestra'!$D$8:$D$42))+1,""),ROW()-474)),"")</f>
        <v>https://www.crtm.es/comunicacion/multimedia/galeria-de-fotos/</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5"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Mapa web</v>
      </c>
      <c r="C489" s="114" t="str" cm="1">
        <f t="array" ref="C489">IFERROR(INDEX('03.Muestra'!$F$8:$F$42,SMALL(IF("Página Web"='03.Muestra'!$D$8:$D$42,ROW('03.Muestra'!$F$8:$F$42)-MIN(ROW('03.Muestra'!$D$8:$D$42))+1,""),ROW()-474)),"")</f>
        <v>https://www.crtm.es/mapa-web</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5"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Protección de datos</v>
      </c>
      <c r="C490" s="114" t="str" cm="1">
        <f t="array" ref="C490">IFERROR(INDEX('03.Muestra'!$F$8:$F$42,SMALL(IF("Página Web"='03.Muestra'!$D$8:$D$42,ROW('03.Muestra'!$F$8:$F$42)-MIN(ROW('03.Muestra'!$D$8:$D$42))+1,""),ROW()-474)),"")</f>
        <v>https://www.crtm.es/proteccion-de-datos</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5"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Política de cookies</v>
      </c>
      <c r="C491" s="114" t="str" cm="1">
        <f t="array" ref="C491">IFERROR(INDEX('03.Muestra'!$F$8:$F$42,SMALL(IF("Página Web"='03.Muestra'!$D$8:$D$42,ROW('03.Muestra'!$F$8:$F$42)-MIN(ROW('03.Muestra'!$D$8:$D$42))+1,""),ROW()-474)),"")</f>
        <v>https://www.crtm.es/politica-de-cookies</v>
      </c>
      <c r="D491" s="130" t="s">
        <v>34</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5"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Aviso Legal</v>
      </c>
      <c r="C492" s="114" t="str" cm="1">
        <f t="array" ref="C492">IFERROR(INDEX('03.Muestra'!$F$8:$F$42,SMALL(IF("Página Web"='03.Muestra'!$D$8:$D$42,ROW('03.Muestra'!$F$8:$F$42)-MIN(ROW('03.Muestra'!$D$8:$D$42))+1,""),ROW()-474)),"")</f>
        <v>https://www.crtm.es/aviso-legal</v>
      </c>
      <c r="D492" s="130" t="s">
        <v>34</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5"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Normativa</v>
      </c>
      <c r="C493" s="114" t="str" cm="1">
        <f t="array" ref="C493">IFERROR(INDEX('03.Muestra'!$F$8:$F$42,SMALL(IF("Página Web"='03.Muestra'!$D$8:$D$42,ROW('03.Muestra'!$F$8:$F$42)-MIN(ROW('03.Muestra'!$D$8:$D$42))+1,""),ROW()-474)),"")</f>
        <v>https://www.crtm.es/normativa</v>
      </c>
      <c r="D493" s="130" t="s">
        <v>34</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5"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Accesibilidad</v>
      </c>
      <c r="C494" s="114" t="str" cm="1">
        <f t="array" ref="C494">IFERROR(INDEX('03.Muestra'!$F$8:$F$42,SMALL(IF("Página Web"='03.Muestra'!$D$8:$D$42,ROW('03.Muestra'!$F$8:$F$42)-MIN(ROW('03.Muestra'!$D$8:$D$42))+1,""),ROW()-474)),"")</f>
        <v>https://www.crtm.es/accesibilidad</v>
      </c>
      <c r="D494" s="130" t="s">
        <v>34</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5" customHeight="1">
      <c r="A495" s="219" cm="1">
        <f t="array" ref="A495">IFERROR(INDEX('03.Muestra'!$B$8:$B$42,SMALL(IF("Página Web"='03.Muestra'!$D$8:$D$42,ROW('03.Muestra'!$B$8:$B$42)-MIN(ROW('03.Muestra'!$D$8:$D$42))+1,""),ROW()-474)),"")</f>
        <v>21</v>
      </c>
      <c r="B495" s="114" t="str" cm="1">
        <f t="array" ref="B495">IFERROR(INDEX('03.Muestra'!$C$8:$C$42,SMALL(IF("Página Web"='03.Muestra'!$D$8:$D$42,ROW('03.Muestra'!$C$8:$C$42)-MIN(ROW('03.Muestra'!$D$8:$D$42))+1,""),ROW()-474)),"")</f>
        <v>Modo accesible</v>
      </c>
      <c r="C495" s="114" t="str" cm="1">
        <f t="array" ref="C495">IFERROR(INDEX('03.Muestra'!$F$8:$F$42,SMALL(IF("Página Web"='03.Muestra'!$D$8:$D$42,ROW('03.Muestra'!$F$8:$F$42)-MIN(ROW('03.Muestra'!$D$8:$D$42))+1,""),ROW()-474)),"")</f>
        <v>https://www.crtm.es/</v>
      </c>
      <c r="D495" s="130" t="s">
        <v>34</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ref="D496:D509" si="25">IF(AND(B496&lt;&gt;"",C496&lt;&gt;""),"N/T","")</f>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https://www.crtm.es/</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Red de metro</v>
      </c>
      <c r="C514" s="114" t="str" cm="1">
        <f t="array" ref="C514">IFERROR(INDEX('03.Muestra'!$F$8:$F$42,SMALL(IF("Página Web"='03.Muestra'!$D$8:$D$42,ROW('03.Muestra'!$F$8:$F$42)-MIN(ROW('03.Muestra'!$D$8:$D$42))+1,""),ROW()-512)),"")</f>
        <v>https://www.crtm.es/tu-transporte-publico/metro/</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21</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Líneas de metro</v>
      </c>
      <c r="C515" s="114" t="str" cm="1">
        <f t="array" ref="C515">IFERROR(INDEX('03.Muestra'!$F$8:$F$42,SMALL(IF("Página Web"='03.Muestra'!$D$8:$D$42,ROW('03.Muestra'!$F$8:$F$42)-MIN(ROW('03.Muestra'!$D$8:$D$42))+1,""),ROW()-512)),"")</f>
        <v>https://www.crtm.es/tu-transporte-publico/metro/lineas/4__1___</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Estaciones Aeropuerto T1-T2-T3</v>
      </c>
      <c r="C516" s="114" t="str" cm="1">
        <f t="array" ref="C516">IFERROR(INDEX('03.Muestra'!$F$8:$F$42,SMALL(IF("Página Web"='03.Muestra'!$D$8:$D$42,ROW('03.Muestra'!$F$8:$F$42)-MIN(ROW('03.Muestra'!$D$8:$D$42))+1,""),ROW()-512)),"")</f>
        <v>https://www.crtm.es/tu-transporte-publico/metro/estaciones/4_159</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Muévete por Madrid</v>
      </c>
      <c r="C517" s="114" t="str" cm="1">
        <f t="array" ref="C517">IFERROR(INDEX('03.Muestra'!$F$8:$F$42,SMALL(IF("Página Web"='03.Muestra'!$D$8:$D$42,ROW('03.Muestra'!$F$8:$F$42)-MIN(ROW('03.Muestra'!$D$8:$D$42))+1,""),ROW()-512)),"")</f>
        <v>https://www.crtm.es/muevete-por-madrid/</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conexiones con aeropuerto y principales estaciones</v>
      </c>
      <c r="C518" s="114" t="str" cm="1">
        <f t="array" ref="C518">IFERROR(INDEX('03.Muestra'!$F$8:$F$42,SMALL(IF("Página Web"='03.Muestra'!$D$8:$D$42,ROW('03.Muestra'!$F$8:$F$42)-MIN(ROW('03.Muestra'!$D$8:$D$42))+1,""),ROW()-512)),"")</f>
        <v xml:space="preserve">https://www.crtm.es/muevete-por-madrid/conexiones-con-aeropuerto-y-principales-estaciones/ </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Atención desplazados Ucranianos</v>
      </c>
      <c r="C519" s="114" t="str" cm="1">
        <f t="array" ref="C519">IFERROR(INDEX('03.Muestra'!$F$8:$F$42,SMALL(IF("Página Web"='03.Muestra'!$D$8:$D$42,ROW('03.Muestra'!$F$8:$F$42)-MIN(ROW('03.Muestra'!$D$8:$D$42))+1,""),ROW()-512)),"")</f>
        <v>https://www.crtm.es/atencion-desplazados-ucranianos/#item3</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Preguntas frecuentes (Tarjeta transporte público personal)</v>
      </c>
      <c r="C520" s="114" t="str" cm="1">
        <f t="array" ref="C520">IFERROR(INDEX('03.Muestra'!$F$8:$F$42,SMALL(IF("Página Web"='03.Muestra'!$D$8:$D$42,ROW('03.Muestra'!$F$8:$F$42)-MIN(ROW('03.Muestra'!$D$8:$D$42))+1,""),ROW()-512)),"")</f>
        <v xml:space="preserve"> https://www.crtm.es/billetes-y-tarifas/tarjeta-transporte-publico/preguntas-frecuentes/#item23</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Billetes y abonos (Metro)</v>
      </c>
      <c r="C521" s="114" t="str" cm="1">
        <f t="array" ref="C521">IFERROR(INDEX('03.Muestra'!$F$8:$F$42,SMALL(IF("Página Web"='03.Muestra'!$D$8:$D$42,ROW('03.Muestra'!$F$8:$F$42)-MIN(ROW('03.Muestra'!$D$8:$D$42))+1,""),ROW()-512)),"")</f>
        <v>https://www.crtm.es/billetes-y-tarifas/billetes-y-abonos/metro/?idPestana=1&amp;lang=#item10</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Billetes y tarifas (App)</v>
      </c>
      <c r="C522" s="114" t="str" cm="1">
        <f t="array" ref="C522">IFERROR(INDEX('03.Muestra'!$F$8:$F$42,SMALL(IF("Página Web"='03.Muestra'!$D$8:$D$42,ROW('03.Muestra'!$F$8:$F$42)-MIN(ROW('03.Muestra'!$D$8:$D$42))+1,""),ROW()-512)),"")</f>
        <v>https://www.crtm.es/billetes-y-tarifas/apps/</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Atención al cliente</v>
      </c>
      <c r="C523" s="114" t="str" cm="1">
        <f t="array" ref="C523">IFERROR(INDEX('03.Muestra'!$F$8:$F$42,SMALL(IF("Página Web"='03.Muestra'!$D$8:$D$42,ROW('03.Muestra'!$F$8:$F$42)-MIN(ROW('03.Muestra'!$D$8:$D$42))+1,""),ROW()-512)),"")</f>
        <v>https://www.crtm.es/atencion-al-cliente/</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Conócenos</v>
      </c>
      <c r="C524" s="114" t="str" cm="1">
        <f t="array" ref="C524">IFERROR(INDEX('03.Muestra'!$F$8:$F$42,SMALL(IF("Página Web"='03.Muestra'!$D$8:$D$42,ROW('03.Muestra'!$F$8:$F$42)-MIN(ROW('03.Muestra'!$D$8:$D$42))+1,""),ROW()-512)),"")</f>
        <v>https://www.crtm.es/conocenos/#CentrodeDocumentacion</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5"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Actualidad del servicio</v>
      </c>
      <c r="C525" s="114" t="str" cm="1">
        <f t="array" ref="C525">IFERROR(INDEX('03.Muestra'!$F$8:$F$42,SMALL(IF("Página Web"='03.Muestra'!$D$8:$D$42,ROW('03.Muestra'!$F$8:$F$42)-MIN(ROW('03.Muestra'!$D$8:$D$42))+1,""),ROW()-512)),"")</f>
        <v>https://www.crtm.es/comunicacion/actualidad-del-servicio/?idPestana=1&amp;lang=es</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5"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Galería de fotos</v>
      </c>
      <c r="C526" s="114" t="str" cm="1">
        <f t="array" ref="C526">IFERROR(INDEX('03.Muestra'!$F$8:$F$42,SMALL(IF("Página Web"='03.Muestra'!$D$8:$D$42,ROW('03.Muestra'!$F$8:$F$42)-MIN(ROW('03.Muestra'!$D$8:$D$42))+1,""),ROW()-512)),"")</f>
        <v>https://www.crtm.es/comunicacion/multimedia/galeria-de-fotos/</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5"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Mapa web</v>
      </c>
      <c r="C527" s="114" t="str" cm="1">
        <f t="array" ref="C527">IFERROR(INDEX('03.Muestra'!$F$8:$F$42,SMALL(IF("Página Web"='03.Muestra'!$D$8:$D$42,ROW('03.Muestra'!$F$8:$F$42)-MIN(ROW('03.Muestra'!$D$8:$D$42))+1,""),ROW()-512)),"")</f>
        <v>https://www.crtm.es/mapa-web</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5"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Protección de datos</v>
      </c>
      <c r="C528" s="114" t="str" cm="1">
        <f t="array" ref="C528">IFERROR(INDEX('03.Muestra'!$F$8:$F$42,SMALL(IF("Página Web"='03.Muestra'!$D$8:$D$42,ROW('03.Muestra'!$F$8:$F$42)-MIN(ROW('03.Muestra'!$D$8:$D$42))+1,""),ROW()-512)),"")</f>
        <v>https://www.crtm.es/proteccion-de-datos</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5"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Política de cookies</v>
      </c>
      <c r="C529" s="114" t="str" cm="1">
        <f t="array" ref="C529">IFERROR(INDEX('03.Muestra'!$F$8:$F$42,SMALL(IF("Página Web"='03.Muestra'!$D$8:$D$42,ROW('03.Muestra'!$F$8:$F$42)-MIN(ROW('03.Muestra'!$D$8:$D$42))+1,""),ROW()-512)),"")</f>
        <v>https://www.crtm.es/politica-de-cookies</v>
      </c>
      <c r="D529" s="130" t="s">
        <v>34</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5"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Aviso Legal</v>
      </c>
      <c r="C530" s="114" t="str" cm="1">
        <f t="array" ref="C530">IFERROR(INDEX('03.Muestra'!$F$8:$F$42,SMALL(IF("Página Web"='03.Muestra'!$D$8:$D$42,ROW('03.Muestra'!$F$8:$F$42)-MIN(ROW('03.Muestra'!$D$8:$D$42))+1,""),ROW()-512)),"")</f>
        <v>https://www.crtm.es/aviso-legal</v>
      </c>
      <c r="D530" s="130" t="s">
        <v>34</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5"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Normativa</v>
      </c>
      <c r="C531" s="114" t="str" cm="1">
        <f t="array" ref="C531">IFERROR(INDEX('03.Muestra'!$F$8:$F$42,SMALL(IF("Página Web"='03.Muestra'!$D$8:$D$42,ROW('03.Muestra'!$F$8:$F$42)-MIN(ROW('03.Muestra'!$D$8:$D$42))+1,""),ROW()-512)),"")</f>
        <v>https://www.crtm.es/normativa</v>
      </c>
      <c r="D531" s="130" t="s">
        <v>34</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5"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Accesibilidad</v>
      </c>
      <c r="C532" s="114" t="str" cm="1">
        <f t="array" ref="C532">IFERROR(INDEX('03.Muestra'!$F$8:$F$42,SMALL(IF("Página Web"='03.Muestra'!$D$8:$D$42,ROW('03.Muestra'!$F$8:$F$42)-MIN(ROW('03.Muestra'!$D$8:$D$42))+1,""),ROW()-512)),"")</f>
        <v>https://www.crtm.es/accesibilidad</v>
      </c>
      <c r="D532" s="130" t="s">
        <v>34</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5" customHeight="1">
      <c r="A533" s="219" cm="1">
        <f t="array" ref="A533">IFERROR(INDEX('03.Muestra'!$B$8:$B$42,SMALL(IF("Página Web"='03.Muestra'!$D$8:$D$42,ROW('03.Muestra'!$B$8:$B$42)-MIN(ROW('03.Muestra'!$D$8:$D$42))+1,""),ROW()-512)),"")</f>
        <v>21</v>
      </c>
      <c r="B533" s="114" t="str" cm="1">
        <f t="array" ref="B533">IFERROR(INDEX('03.Muestra'!$C$8:$C$42,SMALL(IF("Página Web"='03.Muestra'!$D$8:$D$42,ROW('03.Muestra'!$C$8:$C$42)-MIN(ROW('03.Muestra'!$D$8:$D$42))+1,""),ROW()-512)),"")</f>
        <v>Modo accesible</v>
      </c>
      <c r="C533" s="114" t="str" cm="1">
        <f t="array" ref="C533">IFERROR(INDEX('03.Muestra'!$F$8:$F$42,SMALL(IF("Página Web"='03.Muestra'!$D$8:$D$42,ROW('03.Muestra'!$F$8:$F$42)-MIN(ROW('03.Muestra'!$D$8:$D$42))+1,""),ROW()-512)),"")</f>
        <v>https://www.crtm.es/</v>
      </c>
      <c r="D533" s="130" t="s">
        <v>34</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ref="D534:D547" si="27">IF(AND(B534&lt;&gt;"",C534&lt;&gt;""),"N/T","")</f>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https://www.crtm.es/</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Red de metro</v>
      </c>
      <c r="C552" s="114" t="str" cm="1">
        <f t="array" ref="C552">IFERROR(INDEX('03.Muestra'!$F$8:$F$42,SMALL(IF("Página Web"='03.Muestra'!$D$8:$D$42,ROW('03.Muestra'!$F$8:$F$42)-MIN(ROW('03.Muestra'!$D$8:$D$42))+1,""),ROW()-550)),"")</f>
        <v>https://www.crtm.es/tu-transporte-publico/metro/</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21</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Líneas de metro</v>
      </c>
      <c r="C553" s="114" t="str" cm="1">
        <f t="array" ref="C553">IFERROR(INDEX('03.Muestra'!$F$8:$F$42,SMALL(IF("Página Web"='03.Muestra'!$D$8:$D$42,ROW('03.Muestra'!$F$8:$F$42)-MIN(ROW('03.Muestra'!$D$8:$D$42))+1,""),ROW()-550)),"")</f>
        <v>https://www.crtm.es/tu-transporte-publico/metro/lineas/4__1___</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Estaciones Aeropuerto T1-T2-T3</v>
      </c>
      <c r="C554" s="114" t="str" cm="1">
        <f t="array" ref="C554">IFERROR(INDEX('03.Muestra'!$F$8:$F$42,SMALL(IF("Página Web"='03.Muestra'!$D$8:$D$42,ROW('03.Muestra'!$F$8:$F$42)-MIN(ROW('03.Muestra'!$D$8:$D$42))+1,""),ROW()-550)),"")</f>
        <v>https://www.crtm.es/tu-transporte-publico/metro/estaciones/4_159</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Muévete por Madrid</v>
      </c>
      <c r="C555" s="114" t="str" cm="1">
        <f t="array" ref="C555">IFERROR(INDEX('03.Muestra'!$F$8:$F$42,SMALL(IF("Página Web"='03.Muestra'!$D$8:$D$42,ROW('03.Muestra'!$F$8:$F$42)-MIN(ROW('03.Muestra'!$D$8:$D$42))+1,""),ROW()-550)),"")</f>
        <v>https://www.crtm.es/muevete-por-madrid/</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conexiones con aeropuerto y principales estaciones</v>
      </c>
      <c r="C556" s="114" t="str" cm="1">
        <f t="array" ref="C556">IFERROR(INDEX('03.Muestra'!$F$8:$F$42,SMALL(IF("Página Web"='03.Muestra'!$D$8:$D$42,ROW('03.Muestra'!$F$8:$F$42)-MIN(ROW('03.Muestra'!$D$8:$D$42))+1,""),ROW()-550)),"")</f>
        <v xml:space="preserve">https://www.crtm.es/muevete-por-madrid/conexiones-con-aeropuerto-y-principales-estaciones/ </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Atención desplazados Ucranianos</v>
      </c>
      <c r="C557" s="114" t="str" cm="1">
        <f t="array" ref="C557">IFERROR(INDEX('03.Muestra'!$F$8:$F$42,SMALL(IF("Página Web"='03.Muestra'!$D$8:$D$42,ROW('03.Muestra'!$F$8:$F$42)-MIN(ROW('03.Muestra'!$D$8:$D$42))+1,""),ROW()-550)),"")</f>
        <v>https://www.crtm.es/atencion-desplazados-ucranianos/#item3</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Preguntas frecuentes (Tarjeta transporte público personal)</v>
      </c>
      <c r="C558" s="114" t="str" cm="1">
        <f t="array" ref="C558">IFERROR(INDEX('03.Muestra'!$F$8:$F$42,SMALL(IF("Página Web"='03.Muestra'!$D$8:$D$42,ROW('03.Muestra'!$F$8:$F$42)-MIN(ROW('03.Muestra'!$D$8:$D$42))+1,""),ROW()-550)),"")</f>
        <v xml:space="preserve"> https://www.crtm.es/billetes-y-tarifas/tarjeta-transporte-publico/preguntas-frecuentes/#item23</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Billetes y abonos (Metro)</v>
      </c>
      <c r="C559" s="114" t="str" cm="1">
        <f t="array" ref="C559">IFERROR(INDEX('03.Muestra'!$F$8:$F$42,SMALL(IF("Página Web"='03.Muestra'!$D$8:$D$42,ROW('03.Muestra'!$F$8:$F$42)-MIN(ROW('03.Muestra'!$D$8:$D$42))+1,""),ROW()-550)),"")</f>
        <v>https://www.crtm.es/billetes-y-tarifas/billetes-y-abonos/metro/?idPestana=1&amp;lang=#item10</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Billetes y tarifas (App)</v>
      </c>
      <c r="C560" s="114" t="str" cm="1">
        <f t="array" ref="C560">IFERROR(INDEX('03.Muestra'!$F$8:$F$42,SMALL(IF("Página Web"='03.Muestra'!$D$8:$D$42,ROW('03.Muestra'!$F$8:$F$42)-MIN(ROW('03.Muestra'!$D$8:$D$42))+1,""),ROW()-550)),"")</f>
        <v>https://www.crtm.es/billetes-y-tarifas/apps/</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Atención al cliente</v>
      </c>
      <c r="C561" s="114" t="str" cm="1">
        <f t="array" ref="C561">IFERROR(INDEX('03.Muestra'!$F$8:$F$42,SMALL(IF("Página Web"='03.Muestra'!$D$8:$D$42,ROW('03.Muestra'!$F$8:$F$42)-MIN(ROW('03.Muestra'!$D$8:$D$42))+1,""),ROW()-550)),"")</f>
        <v>https://www.crtm.es/atencion-al-cliente/</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Conócenos</v>
      </c>
      <c r="C562" s="114" t="str" cm="1">
        <f t="array" ref="C562">IFERROR(INDEX('03.Muestra'!$F$8:$F$42,SMALL(IF("Página Web"='03.Muestra'!$D$8:$D$42,ROW('03.Muestra'!$F$8:$F$42)-MIN(ROW('03.Muestra'!$D$8:$D$42))+1,""),ROW()-550)),"")</f>
        <v>https://www.crtm.es/conocenos/#CentrodeDocumentacion</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5"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Actualidad del servicio</v>
      </c>
      <c r="C563" s="114" t="str" cm="1">
        <f t="array" ref="C563">IFERROR(INDEX('03.Muestra'!$F$8:$F$42,SMALL(IF("Página Web"='03.Muestra'!$D$8:$D$42,ROW('03.Muestra'!$F$8:$F$42)-MIN(ROW('03.Muestra'!$D$8:$D$42))+1,""),ROW()-550)),"")</f>
        <v>https://www.crtm.es/comunicacion/actualidad-del-servicio/?idPestana=1&amp;lang=es</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5"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Galería de fotos</v>
      </c>
      <c r="C564" s="114" t="str" cm="1">
        <f t="array" ref="C564">IFERROR(INDEX('03.Muestra'!$F$8:$F$42,SMALL(IF("Página Web"='03.Muestra'!$D$8:$D$42,ROW('03.Muestra'!$F$8:$F$42)-MIN(ROW('03.Muestra'!$D$8:$D$42))+1,""),ROW()-550)),"")</f>
        <v>https://www.crtm.es/comunicacion/multimedia/galeria-de-fotos/</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5"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Mapa web</v>
      </c>
      <c r="C565" s="114" t="str" cm="1">
        <f t="array" ref="C565">IFERROR(INDEX('03.Muestra'!$F$8:$F$42,SMALL(IF("Página Web"='03.Muestra'!$D$8:$D$42,ROW('03.Muestra'!$F$8:$F$42)-MIN(ROW('03.Muestra'!$D$8:$D$42))+1,""),ROW()-550)),"")</f>
        <v>https://www.crtm.es/mapa-web</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5"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Protección de datos</v>
      </c>
      <c r="C566" s="114" t="str" cm="1">
        <f t="array" ref="C566">IFERROR(INDEX('03.Muestra'!$F$8:$F$42,SMALL(IF("Página Web"='03.Muestra'!$D$8:$D$42,ROW('03.Muestra'!$F$8:$F$42)-MIN(ROW('03.Muestra'!$D$8:$D$42))+1,""),ROW()-550)),"")</f>
        <v>https://www.crtm.es/proteccion-de-datos</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5"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Política de cookies</v>
      </c>
      <c r="C567" s="114" t="str" cm="1">
        <f t="array" ref="C567">IFERROR(INDEX('03.Muestra'!$F$8:$F$42,SMALL(IF("Página Web"='03.Muestra'!$D$8:$D$42,ROW('03.Muestra'!$F$8:$F$42)-MIN(ROW('03.Muestra'!$D$8:$D$42))+1,""),ROW()-550)),"")</f>
        <v>https://www.crtm.es/politica-de-cookies</v>
      </c>
      <c r="D567" s="130" t="s">
        <v>34</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5"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Aviso Legal</v>
      </c>
      <c r="C568" s="114" t="str" cm="1">
        <f t="array" ref="C568">IFERROR(INDEX('03.Muestra'!$F$8:$F$42,SMALL(IF("Página Web"='03.Muestra'!$D$8:$D$42,ROW('03.Muestra'!$F$8:$F$42)-MIN(ROW('03.Muestra'!$D$8:$D$42))+1,""),ROW()-550)),"")</f>
        <v>https://www.crtm.es/aviso-legal</v>
      </c>
      <c r="D568" s="130" t="s">
        <v>34</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5"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Normativa</v>
      </c>
      <c r="C569" s="114" t="str" cm="1">
        <f t="array" ref="C569">IFERROR(INDEX('03.Muestra'!$F$8:$F$42,SMALL(IF("Página Web"='03.Muestra'!$D$8:$D$42,ROW('03.Muestra'!$F$8:$F$42)-MIN(ROW('03.Muestra'!$D$8:$D$42))+1,""),ROW()-550)),"")</f>
        <v>https://www.crtm.es/normativa</v>
      </c>
      <c r="D569" s="130" t="s">
        <v>34</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5"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Accesibilidad</v>
      </c>
      <c r="C570" s="114" t="str" cm="1">
        <f t="array" ref="C570">IFERROR(INDEX('03.Muestra'!$F$8:$F$42,SMALL(IF("Página Web"='03.Muestra'!$D$8:$D$42,ROW('03.Muestra'!$F$8:$F$42)-MIN(ROW('03.Muestra'!$D$8:$D$42))+1,""),ROW()-550)),"")</f>
        <v>https://www.crtm.es/accesibilidad</v>
      </c>
      <c r="D570" s="130" t="s">
        <v>34</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5" customHeight="1">
      <c r="A571" s="219" cm="1">
        <f t="array" ref="A571">IFERROR(INDEX('03.Muestra'!$B$8:$B$42,SMALL(IF("Página Web"='03.Muestra'!$D$8:$D$42,ROW('03.Muestra'!$B$8:$B$42)-MIN(ROW('03.Muestra'!$D$8:$D$42))+1,""),ROW()-550)),"")</f>
        <v>21</v>
      </c>
      <c r="B571" s="114" t="str" cm="1">
        <f t="array" ref="B571">IFERROR(INDEX('03.Muestra'!$C$8:$C$42,SMALL(IF("Página Web"='03.Muestra'!$D$8:$D$42,ROW('03.Muestra'!$C$8:$C$42)-MIN(ROW('03.Muestra'!$D$8:$D$42))+1,""),ROW()-550)),"")</f>
        <v>Modo accesible</v>
      </c>
      <c r="C571" s="114" t="str" cm="1">
        <f t="array" ref="C571">IFERROR(INDEX('03.Muestra'!$F$8:$F$42,SMALL(IF("Página Web"='03.Muestra'!$D$8:$D$42,ROW('03.Muestra'!$F$8:$F$42)-MIN(ROW('03.Muestra'!$D$8:$D$42))+1,""),ROW()-550)),"")</f>
        <v>https://www.crtm.es/</v>
      </c>
      <c r="D571" s="130" t="s">
        <v>34</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ref="D572:D585" si="29">IF(AND(B572&lt;&gt;"",C572&lt;&gt;""),"N/T","")</f>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https://www.crtm.es/</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Red de metro</v>
      </c>
      <c r="C590" s="114" t="str" cm="1">
        <f t="array" ref="C590">IFERROR(INDEX('03.Muestra'!$F$8:$F$42,SMALL(IF("Página Web"='03.Muestra'!$D$8:$D$42,ROW('03.Muestra'!$F$8:$F$42)-MIN(ROW('03.Muestra'!$D$8:$D$42))+1,""),ROW()-588)),"")</f>
        <v>https://www.crtm.es/tu-transporte-publico/metro/</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21</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Líneas de metro</v>
      </c>
      <c r="C591" s="114" t="str" cm="1">
        <f t="array" ref="C591">IFERROR(INDEX('03.Muestra'!$F$8:$F$42,SMALL(IF("Página Web"='03.Muestra'!$D$8:$D$42,ROW('03.Muestra'!$F$8:$F$42)-MIN(ROW('03.Muestra'!$D$8:$D$42))+1,""),ROW()-588)),"")</f>
        <v>https://www.crtm.es/tu-transporte-publico/metro/lineas/4__1___</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Estaciones Aeropuerto T1-T2-T3</v>
      </c>
      <c r="C592" s="114" t="str" cm="1">
        <f t="array" ref="C592">IFERROR(INDEX('03.Muestra'!$F$8:$F$42,SMALL(IF("Página Web"='03.Muestra'!$D$8:$D$42,ROW('03.Muestra'!$F$8:$F$42)-MIN(ROW('03.Muestra'!$D$8:$D$42))+1,""),ROW()-588)),"")</f>
        <v>https://www.crtm.es/tu-transporte-publico/metro/estaciones/4_159</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Muévete por Madrid</v>
      </c>
      <c r="C593" s="114" t="str" cm="1">
        <f t="array" ref="C593">IFERROR(INDEX('03.Muestra'!$F$8:$F$42,SMALL(IF("Página Web"='03.Muestra'!$D$8:$D$42,ROW('03.Muestra'!$F$8:$F$42)-MIN(ROW('03.Muestra'!$D$8:$D$42))+1,""),ROW()-588)),"")</f>
        <v>https://www.crtm.es/muevete-por-madrid/</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conexiones con aeropuerto y principales estaciones</v>
      </c>
      <c r="C594" s="114" t="str" cm="1">
        <f t="array" ref="C594">IFERROR(INDEX('03.Muestra'!$F$8:$F$42,SMALL(IF("Página Web"='03.Muestra'!$D$8:$D$42,ROW('03.Muestra'!$F$8:$F$42)-MIN(ROW('03.Muestra'!$D$8:$D$42))+1,""),ROW()-588)),"")</f>
        <v xml:space="preserve">https://www.crtm.es/muevete-por-madrid/conexiones-con-aeropuerto-y-principales-estaciones/ </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Atención desplazados Ucranianos</v>
      </c>
      <c r="C595" s="114" t="str" cm="1">
        <f t="array" ref="C595">IFERROR(INDEX('03.Muestra'!$F$8:$F$42,SMALL(IF("Página Web"='03.Muestra'!$D$8:$D$42,ROW('03.Muestra'!$F$8:$F$42)-MIN(ROW('03.Muestra'!$D$8:$D$42))+1,""),ROW()-588)),"")</f>
        <v>https://www.crtm.es/atencion-desplazados-ucranianos/#item3</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Preguntas frecuentes (Tarjeta transporte público personal)</v>
      </c>
      <c r="C596" s="114" t="str" cm="1">
        <f t="array" ref="C596">IFERROR(INDEX('03.Muestra'!$F$8:$F$42,SMALL(IF("Página Web"='03.Muestra'!$D$8:$D$42,ROW('03.Muestra'!$F$8:$F$42)-MIN(ROW('03.Muestra'!$D$8:$D$42))+1,""),ROW()-588)),"")</f>
        <v xml:space="preserve"> https://www.crtm.es/billetes-y-tarifas/tarjeta-transporte-publico/preguntas-frecuentes/#item23</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Billetes y abonos (Metro)</v>
      </c>
      <c r="C597" s="114" t="str" cm="1">
        <f t="array" ref="C597">IFERROR(INDEX('03.Muestra'!$F$8:$F$42,SMALL(IF("Página Web"='03.Muestra'!$D$8:$D$42,ROW('03.Muestra'!$F$8:$F$42)-MIN(ROW('03.Muestra'!$D$8:$D$42))+1,""),ROW()-588)),"")</f>
        <v>https://www.crtm.es/billetes-y-tarifas/billetes-y-abonos/metro/?idPestana=1&amp;lang=#item10</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Billetes y tarifas (App)</v>
      </c>
      <c r="C598" s="114" t="str" cm="1">
        <f t="array" ref="C598">IFERROR(INDEX('03.Muestra'!$F$8:$F$42,SMALL(IF("Página Web"='03.Muestra'!$D$8:$D$42,ROW('03.Muestra'!$F$8:$F$42)-MIN(ROW('03.Muestra'!$D$8:$D$42))+1,""),ROW()-588)),"")</f>
        <v>https://www.crtm.es/billetes-y-tarifas/apps/</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Atención al cliente</v>
      </c>
      <c r="C599" s="114" t="str" cm="1">
        <f t="array" ref="C599">IFERROR(INDEX('03.Muestra'!$F$8:$F$42,SMALL(IF("Página Web"='03.Muestra'!$D$8:$D$42,ROW('03.Muestra'!$F$8:$F$42)-MIN(ROW('03.Muestra'!$D$8:$D$42))+1,""),ROW()-588)),"")</f>
        <v>https://www.crtm.es/atencion-al-cliente/</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Conócenos</v>
      </c>
      <c r="C600" s="114" t="str" cm="1">
        <f t="array" ref="C600">IFERROR(INDEX('03.Muestra'!$F$8:$F$42,SMALL(IF("Página Web"='03.Muestra'!$D$8:$D$42,ROW('03.Muestra'!$F$8:$F$42)-MIN(ROW('03.Muestra'!$D$8:$D$42))+1,""),ROW()-588)),"")</f>
        <v>https://www.crtm.es/conocenos/#CentrodeDocumentacion</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5"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Actualidad del servicio</v>
      </c>
      <c r="C601" s="114" t="str" cm="1">
        <f t="array" ref="C601">IFERROR(INDEX('03.Muestra'!$F$8:$F$42,SMALL(IF("Página Web"='03.Muestra'!$D$8:$D$42,ROW('03.Muestra'!$F$8:$F$42)-MIN(ROW('03.Muestra'!$D$8:$D$42))+1,""),ROW()-588)),"")</f>
        <v>https://www.crtm.es/comunicacion/actualidad-del-servicio/?idPestana=1&amp;lang=es</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5"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Galería de fotos</v>
      </c>
      <c r="C602" s="114" t="str" cm="1">
        <f t="array" ref="C602">IFERROR(INDEX('03.Muestra'!$F$8:$F$42,SMALL(IF("Página Web"='03.Muestra'!$D$8:$D$42,ROW('03.Muestra'!$F$8:$F$42)-MIN(ROW('03.Muestra'!$D$8:$D$42))+1,""),ROW()-588)),"")</f>
        <v>https://www.crtm.es/comunicacion/multimedia/galeria-de-fotos/</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5"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Mapa web</v>
      </c>
      <c r="C603" s="114" t="str" cm="1">
        <f t="array" ref="C603">IFERROR(INDEX('03.Muestra'!$F$8:$F$42,SMALL(IF("Página Web"='03.Muestra'!$D$8:$D$42,ROW('03.Muestra'!$F$8:$F$42)-MIN(ROW('03.Muestra'!$D$8:$D$42))+1,""),ROW()-588)),"")</f>
        <v>https://www.crtm.es/mapa-web</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5"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Protección de datos</v>
      </c>
      <c r="C604" s="114" t="str" cm="1">
        <f t="array" ref="C604">IFERROR(INDEX('03.Muestra'!$F$8:$F$42,SMALL(IF("Página Web"='03.Muestra'!$D$8:$D$42,ROW('03.Muestra'!$F$8:$F$42)-MIN(ROW('03.Muestra'!$D$8:$D$42))+1,""),ROW()-588)),"")</f>
        <v>https://www.crtm.es/proteccion-de-datos</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5"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Política de cookies</v>
      </c>
      <c r="C605" s="114" t="str" cm="1">
        <f t="array" ref="C605">IFERROR(INDEX('03.Muestra'!$F$8:$F$42,SMALL(IF("Página Web"='03.Muestra'!$D$8:$D$42,ROW('03.Muestra'!$F$8:$F$42)-MIN(ROW('03.Muestra'!$D$8:$D$42))+1,""),ROW()-588)),"")</f>
        <v>https://www.crtm.es/politica-de-cookies</v>
      </c>
      <c r="D605" s="130" t="s">
        <v>34</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5"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Aviso Legal</v>
      </c>
      <c r="C606" s="114" t="str" cm="1">
        <f t="array" ref="C606">IFERROR(INDEX('03.Muestra'!$F$8:$F$42,SMALL(IF("Página Web"='03.Muestra'!$D$8:$D$42,ROW('03.Muestra'!$F$8:$F$42)-MIN(ROW('03.Muestra'!$D$8:$D$42))+1,""),ROW()-588)),"")</f>
        <v>https://www.crtm.es/aviso-legal</v>
      </c>
      <c r="D606" s="130" t="s">
        <v>34</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5"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Normativa</v>
      </c>
      <c r="C607" s="114" t="str" cm="1">
        <f t="array" ref="C607">IFERROR(INDEX('03.Muestra'!$F$8:$F$42,SMALL(IF("Página Web"='03.Muestra'!$D$8:$D$42,ROW('03.Muestra'!$F$8:$F$42)-MIN(ROW('03.Muestra'!$D$8:$D$42))+1,""),ROW()-588)),"")</f>
        <v>https://www.crtm.es/normativa</v>
      </c>
      <c r="D607" s="130" t="s">
        <v>34</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5"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Accesibilidad</v>
      </c>
      <c r="C608" s="114" t="str" cm="1">
        <f t="array" ref="C608">IFERROR(INDEX('03.Muestra'!$F$8:$F$42,SMALL(IF("Página Web"='03.Muestra'!$D$8:$D$42,ROW('03.Muestra'!$F$8:$F$42)-MIN(ROW('03.Muestra'!$D$8:$D$42))+1,""),ROW()-588)),"")</f>
        <v>https://www.crtm.es/accesibilidad</v>
      </c>
      <c r="D608" s="130" t="s">
        <v>34</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5" customHeight="1">
      <c r="A609" s="219" cm="1">
        <f t="array" ref="A609">IFERROR(INDEX('03.Muestra'!$B$8:$B$42,SMALL(IF("Página Web"='03.Muestra'!$D$8:$D$42,ROW('03.Muestra'!$B$8:$B$42)-MIN(ROW('03.Muestra'!$D$8:$D$42))+1,""),ROW()-588)),"")</f>
        <v>21</v>
      </c>
      <c r="B609" s="114" t="str" cm="1">
        <f t="array" ref="B609">IFERROR(INDEX('03.Muestra'!$C$8:$C$42,SMALL(IF("Página Web"='03.Muestra'!$D$8:$D$42,ROW('03.Muestra'!$C$8:$C$42)-MIN(ROW('03.Muestra'!$D$8:$D$42))+1,""),ROW()-588)),"")</f>
        <v>Modo accesible</v>
      </c>
      <c r="C609" s="114" t="str" cm="1">
        <f t="array" ref="C609">IFERROR(INDEX('03.Muestra'!$F$8:$F$42,SMALL(IF("Página Web"='03.Muestra'!$D$8:$D$42,ROW('03.Muestra'!$F$8:$F$42)-MIN(ROW('03.Muestra'!$D$8:$D$42))+1,""),ROW()-588)),"")</f>
        <v>https://www.crtm.es/</v>
      </c>
      <c r="D609" s="130" t="s">
        <v>34</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ref="D610:D623" si="31">IF(AND(B610&lt;&gt;"",C610&lt;&gt;""),"N/T","")</f>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https://www.crtm.es/</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Red de metro</v>
      </c>
      <c r="C628" s="114" t="str" cm="1">
        <f t="array" ref="C628">IFERROR(INDEX('03.Muestra'!$F$8:$F$42,SMALL(IF("Página Web"='03.Muestra'!$D$8:$D$42,ROW('03.Muestra'!$F$8:$F$42)-MIN(ROW('03.Muestra'!$D$8:$D$42))+1,""),ROW()-626)),"")</f>
        <v>https://www.crtm.es/tu-transporte-publico/metro/</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21</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Líneas de metro</v>
      </c>
      <c r="C629" s="114" t="str" cm="1">
        <f t="array" ref="C629">IFERROR(INDEX('03.Muestra'!$F$8:$F$42,SMALL(IF("Página Web"='03.Muestra'!$D$8:$D$42,ROW('03.Muestra'!$F$8:$F$42)-MIN(ROW('03.Muestra'!$D$8:$D$42))+1,""),ROW()-626)),"")</f>
        <v>https://www.crtm.es/tu-transporte-publico/metro/lineas/4__1___</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Estaciones Aeropuerto T1-T2-T3</v>
      </c>
      <c r="C630" s="114" t="str" cm="1">
        <f t="array" ref="C630">IFERROR(INDEX('03.Muestra'!$F$8:$F$42,SMALL(IF("Página Web"='03.Muestra'!$D$8:$D$42,ROW('03.Muestra'!$F$8:$F$42)-MIN(ROW('03.Muestra'!$D$8:$D$42))+1,""),ROW()-626)),"")</f>
        <v>https://www.crtm.es/tu-transporte-publico/metro/estaciones/4_159</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Muévete por Madrid</v>
      </c>
      <c r="C631" s="114" t="str" cm="1">
        <f t="array" ref="C631">IFERROR(INDEX('03.Muestra'!$F$8:$F$42,SMALL(IF("Página Web"='03.Muestra'!$D$8:$D$42,ROW('03.Muestra'!$F$8:$F$42)-MIN(ROW('03.Muestra'!$D$8:$D$42))+1,""),ROW()-626)),"")</f>
        <v>https://www.crtm.es/muevete-por-madrid/</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conexiones con aeropuerto y principales estaciones</v>
      </c>
      <c r="C632" s="114" t="str" cm="1">
        <f t="array" ref="C632">IFERROR(INDEX('03.Muestra'!$F$8:$F$42,SMALL(IF("Página Web"='03.Muestra'!$D$8:$D$42,ROW('03.Muestra'!$F$8:$F$42)-MIN(ROW('03.Muestra'!$D$8:$D$42))+1,""),ROW()-626)),"")</f>
        <v xml:space="preserve">https://www.crtm.es/muevete-por-madrid/conexiones-con-aeropuerto-y-principales-estaciones/ </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Atención desplazados Ucranianos</v>
      </c>
      <c r="C633" s="114" t="str" cm="1">
        <f t="array" ref="C633">IFERROR(INDEX('03.Muestra'!$F$8:$F$42,SMALL(IF("Página Web"='03.Muestra'!$D$8:$D$42,ROW('03.Muestra'!$F$8:$F$42)-MIN(ROW('03.Muestra'!$D$8:$D$42))+1,""),ROW()-626)),"")</f>
        <v>https://www.crtm.es/atencion-desplazados-ucranianos/#item3</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Preguntas frecuentes (Tarjeta transporte público personal)</v>
      </c>
      <c r="C634" s="114" t="str" cm="1">
        <f t="array" ref="C634">IFERROR(INDEX('03.Muestra'!$F$8:$F$42,SMALL(IF("Página Web"='03.Muestra'!$D$8:$D$42,ROW('03.Muestra'!$F$8:$F$42)-MIN(ROW('03.Muestra'!$D$8:$D$42))+1,""),ROW()-626)),"")</f>
        <v xml:space="preserve"> https://www.crtm.es/billetes-y-tarifas/tarjeta-transporte-publico/preguntas-frecuentes/#item23</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Billetes y abonos (Metro)</v>
      </c>
      <c r="C635" s="114" t="str" cm="1">
        <f t="array" ref="C635">IFERROR(INDEX('03.Muestra'!$F$8:$F$42,SMALL(IF("Página Web"='03.Muestra'!$D$8:$D$42,ROW('03.Muestra'!$F$8:$F$42)-MIN(ROW('03.Muestra'!$D$8:$D$42))+1,""),ROW()-626)),"")</f>
        <v>https://www.crtm.es/billetes-y-tarifas/billetes-y-abonos/metro/?idPestana=1&amp;lang=#item10</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Billetes y tarifas (App)</v>
      </c>
      <c r="C636" s="114" t="str" cm="1">
        <f t="array" ref="C636">IFERROR(INDEX('03.Muestra'!$F$8:$F$42,SMALL(IF("Página Web"='03.Muestra'!$D$8:$D$42,ROW('03.Muestra'!$F$8:$F$42)-MIN(ROW('03.Muestra'!$D$8:$D$42))+1,""),ROW()-626)),"")</f>
        <v>https://www.crtm.es/billetes-y-tarifas/apps/</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Atención al cliente</v>
      </c>
      <c r="C637" s="114" t="str" cm="1">
        <f t="array" ref="C637">IFERROR(INDEX('03.Muestra'!$F$8:$F$42,SMALL(IF("Página Web"='03.Muestra'!$D$8:$D$42,ROW('03.Muestra'!$F$8:$F$42)-MIN(ROW('03.Muestra'!$D$8:$D$42))+1,""),ROW()-626)),"")</f>
        <v>https://www.crtm.es/atencion-al-cliente/</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Conócenos</v>
      </c>
      <c r="C638" s="114" t="str" cm="1">
        <f t="array" ref="C638">IFERROR(INDEX('03.Muestra'!$F$8:$F$42,SMALL(IF("Página Web"='03.Muestra'!$D$8:$D$42,ROW('03.Muestra'!$F$8:$F$42)-MIN(ROW('03.Muestra'!$D$8:$D$42))+1,""),ROW()-626)),"")</f>
        <v>https://www.crtm.es/conocenos/#CentrodeDocumentacion</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5"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Actualidad del servicio</v>
      </c>
      <c r="C639" s="114" t="str" cm="1">
        <f t="array" ref="C639">IFERROR(INDEX('03.Muestra'!$F$8:$F$42,SMALL(IF("Página Web"='03.Muestra'!$D$8:$D$42,ROW('03.Muestra'!$F$8:$F$42)-MIN(ROW('03.Muestra'!$D$8:$D$42))+1,""),ROW()-626)),"")</f>
        <v>https://www.crtm.es/comunicacion/actualidad-del-servicio/?idPestana=1&amp;lang=es</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5"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Galería de fotos</v>
      </c>
      <c r="C640" s="114" t="str" cm="1">
        <f t="array" ref="C640">IFERROR(INDEX('03.Muestra'!$F$8:$F$42,SMALL(IF("Página Web"='03.Muestra'!$D$8:$D$42,ROW('03.Muestra'!$F$8:$F$42)-MIN(ROW('03.Muestra'!$D$8:$D$42))+1,""),ROW()-626)),"")</f>
        <v>https://www.crtm.es/comunicacion/multimedia/galeria-de-fotos/</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5"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Mapa web</v>
      </c>
      <c r="C641" s="114" t="str" cm="1">
        <f t="array" ref="C641">IFERROR(INDEX('03.Muestra'!$F$8:$F$42,SMALL(IF("Página Web"='03.Muestra'!$D$8:$D$42,ROW('03.Muestra'!$F$8:$F$42)-MIN(ROW('03.Muestra'!$D$8:$D$42))+1,""),ROW()-626)),"")</f>
        <v>https://www.crtm.es/mapa-web</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5"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Protección de datos</v>
      </c>
      <c r="C642" s="114" t="str" cm="1">
        <f t="array" ref="C642">IFERROR(INDEX('03.Muestra'!$F$8:$F$42,SMALL(IF("Página Web"='03.Muestra'!$D$8:$D$42,ROW('03.Muestra'!$F$8:$F$42)-MIN(ROW('03.Muestra'!$D$8:$D$42))+1,""),ROW()-626)),"")</f>
        <v>https://www.crtm.es/proteccion-de-datos</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5"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Política de cookies</v>
      </c>
      <c r="C643" s="114" t="str" cm="1">
        <f t="array" ref="C643">IFERROR(INDEX('03.Muestra'!$F$8:$F$42,SMALL(IF("Página Web"='03.Muestra'!$D$8:$D$42,ROW('03.Muestra'!$F$8:$F$42)-MIN(ROW('03.Muestra'!$D$8:$D$42))+1,""),ROW()-626)),"")</f>
        <v>https://www.crtm.es/politica-de-cookies</v>
      </c>
      <c r="D643" s="130" t="s">
        <v>34</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5"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Aviso Legal</v>
      </c>
      <c r="C644" s="114" t="str" cm="1">
        <f t="array" ref="C644">IFERROR(INDEX('03.Muestra'!$F$8:$F$42,SMALL(IF("Página Web"='03.Muestra'!$D$8:$D$42,ROW('03.Muestra'!$F$8:$F$42)-MIN(ROW('03.Muestra'!$D$8:$D$42))+1,""),ROW()-626)),"")</f>
        <v>https://www.crtm.es/aviso-legal</v>
      </c>
      <c r="D644" s="130" t="s">
        <v>34</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5"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Normativa</v>
      </c>
      <c r="C645" s="114" t="str" cm="1">
        <f t="array" ref="C645">IFERROR(INDEX('03.Muestra'!$F$8:$F$42,SMALL(IF("Página Web"='03.Muestra'!$D$8:$D$42,ROW('03.Muestra'!$F$8:$F$42)-MIN(ROW('03.Muestra'!$D$8:$D$42))+1,""),ROW()-626)),"")</f>
        <v>https://www.crtm.es/normativa</v>
      </c>
      <c r="D645" s="130" t="s">
        <v>34</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5"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Accesibilidad</v>
      </c>
      <c r="C646" s="114" t="str" cm="1">
        <f t="array" ref="C646">IFERROR(INDEX('03.Muestra'!$F$8:$F$42,SMALL(IF("Página Web"='03.Muestra'!$D$8:$D$42,ROW('03.Muestra'!$F$8:$F$42)-MIN(ROW('03.Muestra'!$D$8:$D$42))+1,""),ROW()-626)),"")</f>
        <v>https://www.crtm.es/accesibilidad</v>
      </c>
      <c r="D646" s="130" t="s">
        <v>34</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5" customHeight="1">
      <c r="A647" s="219" cm="1">
        <f t="array" ref="A647">IFERROR(INDEX('03.Muestra'!$B$8:$B$42,SMALL(IF("Página Web"='03.Muestra'!$D$8:$D$42,ROW('03.Muestra'!$B$8:$B$42)-MIN(ROW('03.Muestra'!$D$8:$D$42))+1,""),ROW()-626)),"")</f>
        <v>21</v>
      </c>
      <c r="B647" s="114" t="str" cm="1">
        <f t="array" ref="B647">IFERROR(INDEX('03.Muestra'!$C$8:$C$42,SMALL(IF("Página Web"='03.Muestra'!$D$8:$D$42,ROW('03.Muestra'!$C$8:$C$42)-MIN(ROW('03.Muestra'!$D$8:$D$42))+1,""),ROW()-626)),"")</f>
        <v>Modo accesible</v>
      </c>
      <c r="C647" s="114" t="str" cm="1">
        <f t="array" ref="C647">IFERROR(INDEX('03.Muestra'!$F$8:$F$42,SMALL(IF("Página Web"='03.Muestra'!$D$8:$D$42,ROW('03.Muestra'!$F$8:$F$42)-MIN(ROW('03.Muestra'!$D$8:$D$42))+1,""),ROW()-626)),"")</f>
        <v>https://www.crtm.es/</v>
      </c>
      <c r="D647" s="130" t="s">
        <v>34</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ref="D648:D661" si="33">IF(AND(B648&lt;&gt;"",C648&lt;&gt;""),"N/T","")</f>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https://www.crtm.es/</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Red de metro</v>
      </c>
      <c r="C666" s="114" t="str" cm="1">
        <f t="array" ref="C666">IFERROR(INDEX('03.Muestra'!$F$8:$F$42,SMALL(IF("Página Web"='03.Muestra'!$D$8:$D$42,ROW('03.Muestra'!$F$8:$F$42)-MIN(ROW('03.Muestra'!$D$8:$D$42))+1,""),ROW()-664)),"")</f>
        <v>https://www.crtm.es/tu-transporte-publico/metro/</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21</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Líneas de metro</v>
      </c>
      <c r="C667" s="114" t="str" cm="1">
        <f t="array" ref="C667">IFERROR(INDEX('03.Muestra'!$F$8:$F$42,SMALL(IF("Página Web"='03.Muestra'!$D$8:$D$42,ROW('03.Muestra'!$F$8:$F$42)-MIN(ROW('03.Muestra'!$D$8:$D$42))+1,""),ROW()-664)),"")</f>
        <v>https://www.crtm.es/tu-transporte-publico/metro/lineas/4__1___</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Estaciones Aeropuerto T1-T2-T3</v>
      </c>
      <c r="C668" s="114" t="str" cm="1">
        <f t="array" ref="C668">IFERROR(INDEX('03.Muestra'!$F$8:$F$42,SMALL(IF("Página Web"='03.Muestra'!$D$8:$D$42,ROW('03.Muestra'!$F$8:$F$42)-MIN(ROW('03.Muestra'!$D$8:$D$42))+1,""),ROW()-664)),"")</f>
        <v>https://www.crtm.es/tu-transporte-publico/metro/estaciones/4_159</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Muévete por Madrid</v>
      </c>
      <c r="C669" s="114" t="str" cm="1">
        <f t="array" ref="C669">IFERROR(INDEX('03.Muestra'!$F$8:$F$42,SMALL(IF("Página Web"='03.Muestra'!$D$8:$D$42,ROW('03.Muestra'!$F$8:$F$42)-MIN(ROW('03.Muestra'!$D$8:$D$42))+1,""),ROW()-664)),"")</f>
        <v>https://www.crtm.es/muevete-por-madrid/</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conexiones con aeropuerto y principales estaciones</v>
      </c>
      <c r="C670" s="114" t="str" cm="1">
        <f t="array" ref="C670">IFERROR(INDEX('03.Muestra'!$F$8:$F$42,SMALL(IF("Página Web"='03.Muestra'!$D$8:$D$42,ROW('03.Muestra'!$F$8:$F$42)-MIN(ROW('03.Muestra'!$D$8:$D$42))+1,""),ROW()-664)),"")</f>
        <v xml:space="preserve">https://www.crtm.es/muevete-por-madrid/conexiones-con-aeropuerto-y-principales-estaciones/ </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Atención desplazados Ucranianos</v>
      </c>
      <c r="C671" s="114" t="str" cm="1">
        <f t="array" ref="C671">IFERROR(INDEX('03.Muestra'!$F$8:$F$42,SMALL(IF("Página Web"='03.Muestra'!$D$8:$D$42,ROW('03.Muestra'!$F$8:$F$42)-MIN(ROW('03.Muestra'!$D$8:$D$42))+1,""),ROW()-664)),"")</f>
        <v>https://www.crtm.es/atencion-desplazados-ucranianos/#item3</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Preguntas frecuentes (Tarjeta transporte público personal)</v>
      </c>
      <c r="C672" s="114" t="str" cm="1">
        <f t="array" ref="C672">IFERROR(INDEX('03.Muestra'!$F$8:$F$42,SMALL(IF("Página Web"='03.Muestra'!$D$8:$D$42,ROW('03.Muestra'!$F$8:$F$42)-MIN(ROW('03.Muestra'!$D$8:$D$42))+1,""),ROW()-664)),"")</f>
        <v xml:space="preserve"> https://www.crtm.es/billetes-y-tarifas/tarjeta-transporte-publico/preguntas-frecuentes/#item23</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Billetes y abonos (Metro)</v>
      </c>
      <c r="C673" s="114" t="str" cm="1">
        <f t="array" ref="C673">IFERROR(INDEX('03.Muestra'!$F$8:$F$42,SMALL(IF("Página Web"='03.Muestra'!$D$8:$D$42,ROW('03.Muestra'!$F$8:$F$42)-MIN(ROW('03.Muestra'!$D$8:$D$42))+1,""),ROW()-664)),"")</f>
        <v>https://www.crtm.es/billetes-y-tarifas/billetes-y-abonos/metro/?idPestana=1&amp;lang=#item10</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Billetes y tarifas (App)</v>
      </c>
      <c r="C674" s="114" t="str" cm="1">
        <f t="array" ref="C674">IFERROR(INDEX('03.Muestra'!$F$8:$F$42,SMALL(IF("Página Web"='03.Muestra'!$D$8:$D$42,ROW('03.Muestra'!$F$8:$F$42)-MIN(ROW('03.Muestra'!$D$8:$D$42))+1,""),ROW()-664)),"")</f>
        <v>https://www.crtm.es/billetes-y-tarifas/apps/</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Atención al cliente</v>
      </c>
      <c r="C675" s="114" t="str" cm="1">
        <f t="array" ref="C675">IFERROR(INDEX('03.Muestra'!$F$8:$F$42,SMALL(IF("Página Web"='03.Muestra'!$D$8:$D$42,ROW('03.Muestra'!$F$8:$F$42)-MIN(ROW('03.Muestra'!$D$8:$D$42))+1,""),ROW()-664)),"")</f>
        <v>https://www.crtm.es/atencion-al-cliente/</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Conócenos</v>
      </c>
      <c r="C676" s="114" t="str" cm="1">
        <f t="array" ref="C676">IFERROR(INDEX('03.Muestra'!$F$8:$F$42,SMALL(IF("Página Web"='03.Muestra'!$D$8:$D$42,ROW('03.Muestra'!$F$8:$F$42)-MIN(ROW('03.Muestra'!$D$8:$D$42))+1,""),ROW()-664)),"")</f>
        <v>https://www.crtm.es/conocenos/#CentrodeDocumentacion</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5"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Actualidad del servicio</v>
      </c>
      <c r="C677" s="114" t="str" cm="1">
        <f t="array" ref="C677">IFERROR(INDEX('03.Muestra'!$F$8:$F$42,SMALL(IF("Página Web"='03.Muestra'!$D$8:$D$42,ROW('03.Muestra'!$F$8:$F$42)-MIN(ROW('03.Muestra'!$D$8:$D$42))+1,""),ROW()-664)),"")</f>
        <v>https://www.crtm.es/comunicacion/actualidad-del-servicio/?idPestana=1&amp;lang=es</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5"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Galería de fotos</v>
      </c>
      <c r="C678" s="114" t="str" cm="1">
        <f t="array" ref="C678">IFERROR(INDEX('03.Muestra'!$F$8:$F$42,SMALL(IF("Página Web"='03.Muestra'!$D$8:$D$42,ROW('03.Muestra'!$F$8:$F$42)-MIN(ROW('03.Muestra'!$D$8:$D$42))+1,""),ROW()-664)),"")</f>
        <v>https://www.crtm.es/comunicacion/multimedia/galeria-de-fotos/</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5"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Mapa web</v>
      </c>
      <c r="C679" s="114" t="str" cm="1">
        <f t="array" ref="C679">IFERROR(INDEX('03.Muestra'!$F$8:$F$42,SMALL(IF("Página Web"='03.Muestra'!$D$8:$D$42,ROW('03.Muestra'!$F$8:$F$42)-MIN(ROW('03.Muestra'!$D$8:$D$42))+1,""),ROW()-664)),"")</f>
        <v>https://www.crtm.es/mapa-web</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5"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Protección de datos</v>
      </c>
      <c r="C680" s="114" t="str" cm="1">
        <f t="array" ref="C680">IFERROR(INDEX('03.Muestra'!$F$8:$F$42,SMALL(IF("Página Web"='03.Muestra'!$D$8:$D$42,ROW('03.Muestra'!$F$8:$F$42)-MIN(ROW('03.Muestra'!$D$8:$D$42))+1,""),ROW()-664)),"")</f>
        <v>https://www.crtm.es/proteccion-de-datos</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5"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Política de cookies</v>
      </c>
      <c r="C681" s="114" t="str" cm="1">
        <f t="array" ref="C681">IFERROR(INDEX('03.Muestra'!$F$8:$F$42,SMALL(IF("Página Web"='03.Muestra'!$D$8:$D$42,ROW('03.Muestra'!$F$8:$F$42)-MIN(ROW('03.Muestra'!$D$8:$D$42))+1,""),ROW()-664)),"")</f>
        <v>https://www.crtm.es/politica-de-cookies</v>
      </c>
      <c r="D681" s="130" t="s">
        <v>34</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5"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Aviso Legal</v>
      </c>
      <c r="C682" s="114" t="str" cm="1">
        <f t="array" ref="C682">IFERROR(INDEX('03.Muestra'!$F$8:$F$42,SMALL(IF("Página Web"='03.Muestra'!$D$8:$D$42,ROW('03.Muestra'!$F$8:$F$42)-MIN(ROW('03.Muestra'!$D$8:$D$42))+1,""),ROW()-664)),"")</f>
        <v>https://www.crtm.es/aviso-legal</v>
      </c>
      <c r="D682" s="130" t="s">
        <v>34</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5"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Normativa</v>
      </c>
      <c r="C683" s="114" t="str" cm="1">
        <f t="array" ref="C683">IFERROR(INDEX('03.Muestra'!$F$8:$F$42,SMALL(IF("Página Web"='03.Muestra'!$D$8:$D$42,ROW('03.Muestra'!$F$8:$F$42)-MIN(ROW('03.Muestra'!$D$8:$D$42))+1,""),ROW()-664)),"")</f>
        <v>https://www.crtm.es/normativa</v>
      </c>
      <c r="D683" s="130" t="s">
        <v>34</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5"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Accesibilidad</v>
      </c>
      <c r="C684" s="114" t="str" cm="1">
        <f t="array" ref="C684">IFERROR(INDEX('03.Muestra'!$F$8:$F$42,SMALL(IF("Página Web"='03.Muestra'!$D$8:$D$42,ROW('03.Muestra'!$F$8:$F$42)-MIN(ROW('03.Muestra'!$D$8:$D$42))+1,""),ROW()-664)),"")</f>
        <v>https://www.crtm.es/accesibilidad</v>
      </c>
      <c r="D684" s="130" t="s">
        <v>34</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5" customHeight="1">
      <c r="A685" s="219" cm="1">
        <f t="array" ref="A685">IFERROR(INDEX('03.Muestra'!$B$8:$B$42,SMALL(IF("Página Web"='03.Muestra'!$D$8:$D$42,ROW('03.Muestra'!$B$8:$B$42)-MIN(ROW('03.Muestra'!$D$8:$D$42))+1,""),ROW()-664)),"")</f>
        <v>21</v>
      </c>
      <c r="B685" s="114" t="str" cm="1">
        <f t="array" ref="B685">IFERROR(INDEX('03.Muestra'!$C$8:$C$42,SMALL(IF("Página Web"='03.Muestra'!$D$8:$D$42,ROW('03.Muestra'!$C$8:$C$42)-MIN(ROW('03.Muestra'!$D$8:$D$42))+1,""),ROW()-664)),"")</f>
        <v>Modo accesible</v>
      </c>
      <c r="C685" s="114" t="str" cm="1">
        <f t="array" ref="C685">IFERROR(INDEX('03.Muestra'!$F$8:$F$42,SMALL(IF("Página Web"='03.Muestra'!$D$8:$D$42,ROW('03.Muestra'!$F$8:$F$42)-MIN(ROW('03.Muestra'!$D$8:$D$42))+1,""),ROW()-664)),"")</f>
        <v>https://www.crtm.es/</v>
      </c>
      <c r="D685" s="130" t="s">
        <v>34</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ref="D686:D699" si="35">IF(AND(B686&lt;&gt;"",C686&lt;&gt;""),"N/T","")</f>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https://www.crtm.es/</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Red de metro</v>
      </c>
      <c r="C704" s="114" t="str" cm="1">
        <f t="array" ref="C704">IFERROR(INDEX('03.Muestra'!$F$8:$F$42,SMALL(IF("Página Web"='03.Muestra'!$D$8:$D$42,ROW('03.Muestra'!$F$8:$F$42)-MIN(ROW('03.Muestra'!$D$8:$D$42))+1,""),ROW()-702)),"")</f>
        <v>https://www.crtm.es/tu-transporte-publico/metro/</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21</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Líneas de metro</v>
      </c>
      <c r="C705" s="114" t="str" cm="1">
        <f t="array" ref="C705">IFERROR(INDEX('03.Muestra'!$F$8:$F$42,SMALL(IF("Página Web"='03.Muestra'!$D$8:$D$42,ROW('03.Muestra'!$F$8:$F$42)-MIN(ROW('03.Muestra'!$D$8:$D$42))+1,""),ROW()-702)),"")</f>
        <v>https://www.crtm.es/tu-transporte-publico/metro/lineas/4__1___</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Estaciones Aeropuerto T1-T2-T3</v>
      </c>
      <c r="C706" s="114" t="str" cm="1">
        <f t="array" ref="C706">IFERROR(INDEX('03.Muestra'!$F$8:$F$42,SMALL(IF("Página Web"='03.Muestra'!$D$8:$D$42,ROW('03.Muestra'!$F$8:$F$42)-MIN(ROW('03.Muestra'!$D$8:$D$42))+1,""),ROW()-702)),"")</f>
        <v>https://www.crtm.es/tu-transporte-publico/metro/estaciones/4_159</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Muévete por Madrid</v>
      </c>
      <c r="C707" s="114" t="str" cm="1">
        <f t="array" ref="C707">IFERROR(INDEX('03.Muestra'!$F$8:$F$42,SMALL(IF("Página Web"='03.Muestra'!$D$8:$D$42,ROW('03.Muestra'!$F$8:$F$42)-MIN(ROW('03.Muestra'!$D$8:$D$42))+1,""),ROW()-702)),"")</f>
        <v>https://www.crtm.es/muevete-por-madrid/</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conexiones con aeropuerto y principales estaciones</v>
      </c>
      <c r="C708" s="114" t="str" cm="1">
        <f t="array" ref="C708">IFERROR(INDEX('03.Muestra'!$F$8:$F$42,SMALL(IF("Página Web"='03.Muestra'!$D$8:$D$42,ROW('03.Muestra'!$F$8:$F$42)-MIN(ROW('03.Muestra'!$D$8:$D$42))+1,""),ROW()-702)),"")</f>
        <v xml:space="preserve">https://www.crtm.es/muevete-por-madrid/conexiones-con-aeropuerto-y-principales-estaciones/ </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Atención desplazados Ucranianos</v>
      </c>
      <c r="C709" s="114" t="str" cm="1">
        <f t="array" ref="C709">IFERROR(INDEX('03.Muestra'!$F$8:$F$42,SMALL(IF("Página Web"='03.Muestra'!$D$8:$D$42,ROW('03.Muestra'!$F$8:$F$42)-MIN(ROW('03.Muestra'!$D$8:$D$42))+1,""),ROW()-702)),"")</f>
        <v>https://www.crtm.es/atencion-desplazados-ucranianos/#item3</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Preguntas frecuentes (Tarjeta transporte público personal)</v>
      </c>
      <c r="C710" s="114" t="str" cm="1">
        <f t="array" ref="C710">IFERROR(INDEX('03.Muestra'!$F$8:$F$42,SMALL(IF("Página Web"='03.Muestra'!$D$8:$D$42,ROW('03.Muestra'!$F$8:$F$42)-MIN(ROW('03.Muestra'!$D$8:$D$42))+1,""),ROW()-702)),"")</f>
        <v xml:space="preserve"> https://www.crtm.es/billetes-y-tarifas/tarjeta-transporte-publico/preguntas-frecuentes/#item23</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Billetes y abonos (Metro)</v>
      </c>
      <c r="C711" s="114" t="str" cm="1">
        <f t="array" ref="C711">IFERROR(INDEX('03.Muestra'!$F$8:$F$42,SMALL(IF("Página Web"='03.Muestra'!$D$8:$D$42,ROW('03.Muestra'!$F$8:$F$42)-MIN(ROW('03.Muestra'!$D$8:$D$42))+1,""),ROW()-702)),"")</f>
        <v>https://www.crtm.es/billetes-y-tarifas/billetes-y-abonos/metro/?idPestana=1&amp;lang=#item10</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Billetes y tarifas (App)</v>
      </c>
      <c r="C712" s="114" t="str" cm="1">
        <f t="array" ref="C712">IFERROR(INDEX('03.Muestra'!$F$8:$F$42,SMALL(IF("Página Web"='03.Muestra'!$D$8:$D$42,ROW('03.Muestra'!$F$8:$F$42)-MIN(ROW('03.Muestra'!$D$8:$D$42))+1,""),ROW()-702)),"")</f>
        <v>https://www.crtm.es/billetes-y-tarifas/apps/</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Atención al cliente</v>
      </c>
      <c r="C713" s="114" t="str" cm="1">
        <f t="array" ref="C713">IFERROR(INDEX('03.Muestra'!$F$8:$F$42,SMALL(IF("Página Web"='03.Muestra'!$D$8:$D$42,ROW('03.Muestra'!$F$8:$F$42)-MIN(ROW('03.Muestra'!$D$8:$D$42))+1,""),ROW()-702)),"")</f>
        <v>https://www.crtm.es/atencion-al-cliente/</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Conócenos</v>
      </c>
      <c r="C714" s="114" t="str" cm="1">
        <f t="array" ref="C714">IFERROR(INDEX('03.Muestra'!$F$8:$F$42,SMALL(IF("Página Web"='03.Muestra'!$D$8:$D$42,ROW('03.Muestra'!$F$8:$F$42)-MIN(ROW('03.Muestra'!$D$8:$D$42))+1,""),ROW()-702)),"")</f>
        <v>https://www.crtm.es/conocenos/#CentrodeDocumentacion</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5"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Actualidad del servicio</v>
      </c>
      <c r="C715" s="114" t="str" cm="1">
        <f t="array" ref="C715">IFERROR(INDEX('03.Muestra'!$F$8:$F$42,SMALL(IF("Página Web"='03.Muestra'!$D$8:$D$42,ROW('03.Muestra'!$F$8:$F$42)-MIN(ROW('03.Muestra'!$D$8:$D$42))+1,""),ROW()-702)),"")</f>
        <v>https://www.crtm.es/comunicacion/actualidad-del-servicio/?idPestana=1&amp;lang=es</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5"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Galería de fotos</v>
      </c>
      <c r="C716" s="114" t="str" cm="1">
        <f t="array" ref="C716">IFERROR(INDEX('03.Muestra'!$F$8:$F$42,SMALL(IF("Página Web"='03.Muestra'!$D$8:$D$42,ROW('03.Muestra'!$F$8:$F$42)-MIN(ROW('03.Muestra'!$D$8:$D$42))+1,""),ROW()-702)),"")</f>
        <v>https://www.crtm.es/comunicacion/multimedia/galeria-de-fotos/</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5"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Mapa web</v>
      </c>
      <c r="C717" s="114" t="str" cm="1">
        <f t="array" ref="C717">IFERROR(INDEX('03.Muestra'!$F$8:$F$42,SMALL(IF("Página Web"='03.Muestra'!$D$8:$D$42,ROW('03.Muestra'!$F$8:$F$42)-MIN(ROW('03.Muestra'!$D$8:$D$42))+1,""),ROW()-702)),"")</f>
        <v>https://www.crtm.es/mapa-web</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5"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Protección de datos</v>
      </c>
      <c r="C718" s="114" t="str" cm="1">
        <f t="array" ref="C718">IFERROR(INDEX('03.Muestra'!$F$8:$F$42,SMALL(IF("Página Web"='03.Muestra'!$D$8:$D$42,ROW('03.Muestra'!$F$8:$F$42)-MIN(ROW('03.Muestra'!$D$8:$D$42))+1,""),ROW()-702)),"")</f>
        <v>https://www.crtm.es/proteccion-de-datos</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5"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Política de cookies</v>
      </c>
      <c r="C719" s="114" t="str" cm="1">
        <f t="array" ref="C719">IFERROR(INDEX('03.Muestra'!$F$8:$F$42,SMALL(IF("Página Web"='03.Muestra'!$D$8:$D$42,ROW('03.Muestra'!$F$8:$F$42)-MIN(ROW('03.Muestra'!$D$8:$D$42))+1,""),ROW()-702)),"")</f>
        <v>https://www.crtm.es/politica-de-cookies</v>
      </c>
      <c r="D719" s="130" t="s">
        <v>34</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5"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Aviso Legal</v>
      </c>
      <c r="C720" s="114" t="str" cm="1">
        <f t="array" ref="C720">IFERROR(INDEX('03.Muestra'!$F$8:$F$42,SMALL(IF("Página Web"='03.Muestra'!$D$8:$D$42,ROW('03.Muestra'!$F$8:$F$42)-MIN(ROW('03.Muestra'!$D$8:$D$42))+1,""),ROW()-702)),"")</f>
        <v>https://www.crtm.es/aviso-legal</v>
      </c>
      <c r="D720" s="130" t="s">
        <v>34</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5"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Normativa</v>
      </c>
      <c r="C721" s="114" t="str" cm="1">
        <f t="array" ref="C721">IFERROR(INDEX('03.Muestra'!$F$8:$F$42,SMALL(IF("Página Web"='03.Muestra'!$D$8:$D$42,ROW('03.Muestra'!$F$8:$F$42)-MIN(ROW('03.Muestra'!$D$8:$D$42))+1,""),ROW()-702)),"")</f>
        <v>https://www.crtm.es/normativa</v>
      </c>
      <c r="D721" s="130" t="s">
        <v>34</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5"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Accesibilidad</v>
      </c>
      <c r="C722" s="114" t="str" cm="1">
        <f t="array" ref="C722">IFERROR(INDEX('03.Muestra'!$F$8:$F$42,SMALL(IF("Página Web"='03.Muestra'!$D$8:$D$42,ROW('03.Muestra'!$F$8:$F$42)-MIN(ROW('03.Muestra'!$D$8:$D$42))+1,""),ROW()-702)),"")</f>
        <v>https://www.crtm.es/accesibilidad</v>
      </c>
      <c r="D722" s="130" t="s">
        <v>34</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5" customHeight="1">
      <c r="A723" s="219" cm="1">
        <f t="array" ref="A723">IFERROR(INDEX('03.Muestra'!$B$8:$B$42,SMALL(IF("Página Web"='03.Muestra'!$D$8:$D$42,ROW('03.Muestra'!$B$8:$B$42)-MIN(ROW('03.Muestra'!$D$8:$D$42))+1,""),ROW()-702)),"")</f>
        <v>21</v>
      </c>
      <c r="B723" s="114" t="str" cm="1">
        <f t="array" ref="B723">IFERROR(INDEX('03.Muestra'!$C$8:$C$42,SMALL(IF("Página Web"='03.Muestra'!$D$8:$D$42,ROW('03.Muestra'!$C$8:$C$42)-MIN(ROW('03.Muestra'!$D$8:$D$42))+1,""),ROW()-702)),"")</f>
        <v>Modo accesible</v>
      </c>
      <c r="C723" s="114" t="str" cm="1">
        <f t="array" ref="C723">IFERROR(INDEX('03.Muestra'!$F$8:$F$42,SMALL(IF("Página Web"='03.Muestra'!$D$8:$D$42,ROW('03.Muestra'!$F$8:$F$42)-MIN(ROW('03.Muestra'!$D$8:$D$42))+1,""),ROW()-702)),"")</f>
        <v>https://www.crtm.es/</v>
      </c>
      <c r="D723" s="130" t="s">
        <v>34</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ref="D724:D737" si="37">IF(AND(B724&lt;&gt;"",C724&lt;&gt;""),"N/T","")</f>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 zoomScale="80" zoomScaleNormal="80" workbookViewId="0">
      <selection activeCell="D343" sqref="D343"/>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56"/>
      <c r="C6" s="156"/>
      <c r="D6" s="156"/>
      <c r="E6" s="157"/>
      <c r="F6" s="156"/>
      <c r="G6" s="156"/>
      <c r="H6" s="156"/>
      <c r="I6" s="156"/>
      <c r="J6" s="156"/>
      <c r="K6" s="156"/>
      <c r="L6" s="156"/>
      <c r="M6" s="156"/>
      <c r="N6" s="19"/>
      <c r="O6" s="19"/>
    </row>
    <row r="7" spans="1:64" ht="12.65"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0</v>
      </c>
      <c r="H12" s="53">
        <f ca="1">IF(($G$15+$K$15)=0,0,G12/($G$15+$K$15))</f>
        <v>0</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0</v>
      </c>
      <c r="H13" s="53">
        <f ca="1">IF(($G$15+$K$15)=0,0,G13/($G$15+$K$15))</f>
        <v>0</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189</v>
      </c>
      <c r="H14" s="53">
        <f ca="1">IF(($G$15+$K$15)=0,0,G14/($G$15+$K$15))</f>
        <v>1</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189</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https://www.crtm.es/</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Red de metro</v>
      </c>
      <c r="C20" s="114" t="str" cm="1">
        <f t="array" ref="C20">IFERROR(INDEX('03.Muestra'!$F$8:$F$42,SMALL(IF("Página Web"='03.Muestra'!$D$8:$D$42,ROW('03.Muestra'!$F$8:$F$42)-MIN(ROW('03.Muestra'!$D$8:$D$42))+1,""),ROW()-18)),"")</f>
        <v>https://www.crtm.es/tu-transporte-publico/metro/</v>
      </c>
      <c r="D20" s="130" t="s">
        <v>34</v>
      </c>
      <c r="E20" s="107" t="str">
        <f t="shared" si="0"/>
        <v/>
      </c>
      <c r="F20" s="120">
        <f ca="1">COUNTIF($D19:INDIRECT("$D" &amp;  SUM(ROW()-1,'03.Muestra'!$D$45)-1),F19)</f>
        <v>0</v>
      </c>
      <c r="G20" s="120">
        <f ca="1">COUNTIF($D19:INDIRECT("$D" &amp;  SUM(ROW()-1,'03.Muestra'!$D$45)-1),G19)</f>
        <v>0</v>
      </c>
      <c r="H20" s="120">
        <f ca="1">COUNTIF($D19:INDIRECT("$D" &amp;  SUM(ROW()-1,'03.Muestra'!$D$45)-1),H19)</f>
        <v>21</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Líneas de metro</v>
      </c>
      <c r="C21" s="114" t="str" cm="1">
        <f t="array" ref="C21">IFERROR(INDEX('03.Muestra'!$F$8:$F$42,SMALL(IF("Página Web"='03.Muestra'!$D$8:$D$42,ROW('03.Muestra'!$F$8:$F$42)-MIN(ROW('03.Muestra'!$D$8:$D$42))+1,""),ROW()-18)),"")</f>
        <v>https://www.crtm.es/tu-transporte-publico/metro/lineas/4__1___</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Estaciones Aeropuerto T1-T2-T3</v>
      </c>
      <c r="C22" s="114" t="str" cm="1">
        <f t="array" ref="C22">IFERROR(INDEX('03.Muestra'!$F$8:$F$42,SMALL(IF("Página Web"='03.Muestra'!$D$8:$D$42,ROW('03.Muestra'!$F$8:$F$42)-MIN(ROW('03.Muestra'!$D$8:$D$42))+1,""),ROW()-18)),"")</f>
        <v>https://www.crtm.es/tu-transporte-publico/metro/estaciones/4_159</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Muévete por Madrid</v>
      </c>
      <c r="C23" s="114" t="str" cm="1">
        <f t="array" ref="C23">IFERROR(INDEX('03.Muestra'!$F$8:$F$42,SMALL(IF("Página Web"='03.Muestra'!$D$8:$D$42,ROW('03.Muestra'!$F$8:$F$42)-MIN(ROW('03.Muestra'!$D$8:$D$42))+1,""),ROW()-18)),"")</f>
        <v>https://www.crtm.es/muevete-por-madrid/</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conexiones con aeropuerto y principales estaciones</v>
      </c>
      <c r="C24" s="114" t="str" cm="1">
        <f t="array" ref="C24">IFERROR(INDEX('03.Muestra'!$F$8:$F$42,SMALL(IF("Página Web"='03.Muestra'!$D$8:$D$42,ROW('03.Muestra'!$F$8:$F$42)-MIN(ROW('03.Muestra'!$D$8:$D$42))+1,""),ROW()-18)),"")</f>
        <v xml:space="preserve">https://www.crtm.es/muevete-por-madrid/conexiones-con-aeropuerto-y-principales-estaciones/ </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desplazados Ucranianos</v>
      </c>
      <c r="C25" s="114" t="str" cm="1">
        <f t="array" ref="C25">IFERROR(INDEX('03.Muestra'!$F$8:$F$42,SMALL(IF("Página Web"='03.Muestra'!$D$8:$D$42,ROW('03.Muestra'!$F$8:$F$42)-MIN(ROW('03.Muestra'!$D$8:$D$42))+1,""),ROW()-18)),"")</f>
        <v>https://www.crtm.es/atencion-desplazados-ucranianos/#item3</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Preguntas frecuentes (Tarjeta transporte público personal)</v>
      </c>
      <c r="C26" s="114" t="str" cm="1">
        <f t="array" ref="C26">IFERROR(INDEX('03.Muestra'!$F$8:$F$42,SMALL(IF("Página Web"='03.Muestra'!$D$8:$D$42,ROW('03.Muestra'!$F$8:$F$42)-MIN(ROW('03.Muestra'!$D$8:$D$42))+1,""),ROW()-18)),"")</f>
        <v xml:space="preserve"> https://www.crtm.es/billetes-y-tarifas/tarjeta-transporte-publico/preguntas-frecuentes/#item23</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Billetes y abonos (Metro)</v>
      </c>
      <c r="C27" s="114" t="str" cm="1">
        <f t="array" ref="C27">IFERROR(INDEX('03.Muestra'!$F$8:$F$42,SMALL(IF("Página Web"='03.Muestra'!$D$8:$D$42,ROW('03.Muestra'!$F$8:$F$42)-MIN(ROW('03.Muestra'!$D$8:$D$42))+1,""),ROW()-18)),"")</f>
        <v>https://www.crtm.es/billetes-y-tarifas/billetes-y-abonos/metro/?idPestana=1&amp;lang=#item10</v>
      </c>
      <c r="D27" s="130" t="s">
        <v>34</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Billetes y tarifas (App)</v>
      </c>
      <c r="C28" s="114" t="str" cm="1">
        <f t="array" ref="C28">IFERROR(INDEX('03.Muestra'!$F$8:$F$42,SMALL(IF("Página Web"='03.Muestra'!$D$8:$D$42,ROW('03.Muestra'!$F$8:$F$42)-MIN(ROW('03.Muestra'!$D$8:$D$42))+1,""),ROW()-18)),"")</f>
        <v>https://www.crtm.es/billetes-y-tarifas/apps/</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Atención al cliente</v>
      </c>
      <c r="C29" s="114" t="str" cm="1">
        <f t="array" ref="C29">IFERROR(INDEX('03.Muestra'!$F$8:$F$42,SMALL(IF("Página Web"='03.Muestra'!$D$8:$D$42,ROW('03.Muestra'!$F$8:$F$42)-MIN(ROW('03.Muestra'!$D$8:$D$42))+1,""),ROW()-18)),"")</f>
        <v>https://www.crtm.es/atencion-al-cliente/</v>
      </c>
      <c r="D29" s="130" t="s">
        <v>34</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Conócenos</v>
      </c>
      <c r="C30" s="114" t="str" cm="1">
        <f t="array" ref="C30">IFERROR(INDEX('03.Muestra'!$F$8:$F$42,SMALL(IF("Página Web"='03.Muestra'!$D$8:$D$42,ROW('03.Muestra'!$F$8:$F$42)-MIN(ROW('03.Muestra'!$D$8:$D$42))+1,""),ROW()-18)),"")</f>
        <v>https://www.crtm.es/conocenos/#CentrodeDocumentacion</v>
      </c>
      <c r="D30" s="130" t="s">
        <v>34</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Actualidad del servicio</v>
      </c>
      <c r="C31" s="114" t="str" cm="1">
        <f t="array" ref="C31">IFERROR(INDEX('03.Muestra'!$F$8:$F$42,SMALL(IF("Página Web"='03.Muestra'!$D$8:$D$42,ROW('03.Muestra'!$F$8:$F$42)-MIN(ROW('03.Muestra'!$D$8:$D$42))+1,""),ROW()-18)),"")</f>
        <v>https://www.crtm.es/comunicacion/actualidad-del-servicio/?idPestana=1&amp;lang=es</v>
      </c>
      <c r="D31" s="130" t="s">
        <v>34</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Galería de fotos</v>
      </c>
      <c r="C32" s="114" t="str" cm="1">
        <f t="array" ref="C32">IFERROR(INDEX('03.Muestra'!$F$8:$F$42,SMALL(IF("Página Web"='03.Muestra'!$D$8:$D$42,ROW('03.Muestra'!$F$8:$F$42)-MIN(ROW('03.Muestra'!$D$8:$D$42))+1,""),ROW()-18)),"")</f>
        <v>https://www.crtm.es/comunicacion/multimedia/galeria-de-fotos/</v>
      </c>
      <c r="D32" s="130" t="s">
        <v>34</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https://www.crtm.es/mapa-web</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Protección de datos</v>
      </c>
      <c r="C34" s="114" t="str" cm="1">
        <f t="array" ref="C34">IFERROR(INDEX('03.Muestra'!$F$8:$F$42,SMALL(IF("Página Web"='03.Muestra'!$D$8:$D$42,ROW('03.Muestra'!$F$8:$F$42)-MIN(ROW('03.Muestra'!$D$8:$D$42))+1,""),ROW()-18)),"")</f>
        <v>https://www.crtm.es/proteccion-de-datos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Política de cookies</v>
      </c>
      <c r="C35" s="114" t="str" cm="1">
        <f t="array" ref="C35">IFERROR(INDEX('03.Muestra'!$F$8:$F$42,SMALL(IF("Página Web"='03.Muestra'!$D$8:$D$42,ROW('03.Muestra'!$F$8:$F$42)-MIN(ROW('03.Muestra'!$D$8:$D$42))+1,""),ROW()-18)),"")</f>
        <v>https://www.crtm.es/politica-de-cookies</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Aviso Legal</v>
      </c>
      <c r="C36" s="114" t="str" cm="1">
        <f t="array" ref="C36">IFERROR(INDEX('03.Muestra'!$F$8:$F$42,SMALL(IF("Página Web"='03.Muestra'!$D$8:$D$42,ROW('03.Muestra'!$F$8:$F$42)-MIN(ROW('03.Muestra'!$D$8:$D$42))+1,""),ROW()-18)),"")</f>
        <v>https://www.crtm.es/aviso-legal</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Normativa</v>
      </c>
      <c r="C37" s="114" t="str" cm="1">
        <f t="array" ref="C37">IFERROR(INDEX('03.Muestra'!$F$8:$F$42,SMALL(IF("Página Web"='03.Muestra'!$D$8:$D$42,ROW('03.Muestra'!$F$8:$F$42)-MIN(ROW('03.Muestra'!$D$8:$D$42))+1,""),ROW()-18)),"")</f>
        <v>https://www.crtm.es/normativa</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Accesibilidad</v>
      </c>
      <c r="C38" s="114" t="str" cm="1">
        <f t="array" ref="C38">IFERROR(INDEX('03.Muestra'!$F$8:$F$42,SMALL(IF("Página Web"='03.Muestra'!$D$8:$D$42,ROW('03.Muestra'!$F$8:$F$42)-MIN(ROW('03.Muestra'!$D$8:$D$42))+1,""),ROW()-18)),"")</f>
        <v>https://www.crtm.es/accesibilidad</v>
      </c>
      <c r="D38" s="130" t="s">
        <v>34</v>
      </c>
      <c r="E38" s="107" t="str">
        <f t="shared" si="0"/>
        <v/>
      </c>
      <c r="F38" s="19"/>
      <c r="G38" s="19"/>
      <c r="H38" s="19"/>
      <c r="I38" s="19"/>
      <c r="J38" s="19"/>
      <c r="K38" s="19"/>
      <c r="L38" s="19"/>
      <c r="Q38" s="19"/>
      <c r="W38" s="19"/>
      <c r="X38" s="19"/>
      <c r="Y38" s="19"/>
    </row>
    <row r="39" spans="1:25" ht="12" customHeight="1">
      <c r="A39" s="219" cm="1">
        <f t="array" ref="A39">IFERROR(INDEX('03.Muestra'!$B$8:$B$42,SMALL(IF("Página Web"='03.Muestra'!$D$8:$D$42,ROW('03.Muestra'!$B$8:$B$42)-MIN(ROW('03.Muestra'!$D$8:$D$42))+1,""),ROW()-18)),"")</f>
        <v>21</v>
      </c>
      <c r="B39" s="114" t="str" cm="1">
        <f t="array" ref="B39">IFERROR(INDEX('03.Muestra'!$C$8:$C$42,SMALL(IF("Página Web"='03.Muestra'!$D$8:$D$42,ROW('03.Muestra'!$C$8:$C$42)-MIN(ROW('03.Muestra'!$D$8:$D$42))+1,""),ROW()-18)),"")</f>
        <v>Modo accesible</v>
      </c>
      <c r="C39" s="114" t="str" cm="1">
        <f t="array" ref="C39">IFERROR(INDEX('03.Muestra'!$F$8:$F$42,SMALL(IF("Página Web"='03.Muestra'!$D$8:$D$42,ROW('03.Muestra'!$F$8:$F$42)-MIN(ROW('03.Muestra'!$D$8:$D$42))+1,""),ROW()-18)),"")</f>
        <v>https://www.crtm.es/</v>
      </c>
      <c r="D39" s="130" t="s">
        <v>34</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Red de metro</v>
      </c>
      <c r="C58" s="114"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21</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Líneas de metro</v>
      </c>
      <c r="C59" s="114"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Estaciones Aeropuerto T1-T2-T3</v>
      </c>
      <c r="C60" s="114"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Muévete por Madrid</v>
      </c>
      <c r="C61" s="114" t="str" cm="1">
        <f t="array" ref="C61">IFERROR(INDEX('03.Muestra'!$F$8:$F$42,SMALL(IF("Página Web"='03.Muestra'!$D$8:$D$42,ROW('03.Muestra'!$F$8:$F$42)-MIN(ROW('03.Muestra'!$D$8:$D$42))+1,""),ROW()-56)),"")</f>
        <v>https://www.crtm.es/muevete-por-madrid/</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conexiones con aeropuerto y principales estaciones</v>
      </c>
      <c r="C62" s="114"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desplazados Ucranianos</v>
      </c>
      <c r="C63" s="114"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Preguntas frecuentes (Tarjeta transporte público personal)</v>
      </c>
      <c r="C64" s="114"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Billetes y abonos (Metro)</v>
      </c>
      <c r="C65" s="114"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Billetes y tarifas (App)</v>
      </c>
      <c r="C66" s="114"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Atención al cliente</v>
      </c>
      <c r="C67" s="114"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Conócenos</v>
      </c>
      <c r="C68" s="114"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Actualidad del servicio</v>
      </c>
      <c r="C69" s="114"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Galería de fotos</v>
      </c>
      <c r="C70" s="114"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https://www.crtm.es/mapa-web</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Protección de datos</v>
      </c>
      <c r="C72" s="114"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Política de cookies</v>
      </c>
      <c r="C73" s="114"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Aviso Legal</v>
      </c>
      <c r="C74" s="114" t="str" cm="1">
        <f t="array" ref="C74">IFERROR(INDEX('03.Muestra'!$F$8:$F$42,SMALL(IF("Página Web"='03.Muestra'!$D$8:$D$42,ROW('03.Muestra'!$F$8:$F$42)-MIN(ROW('03.Muestra'!$D$8:$D$42))+1,""),ROW()-56)),"")</f>
        <v>https://www.crtm.es/aviso-legal</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Normativa</v>
      </c>
      <c r="C75" s="114" t="str" cm="1">
        <f t="array" ref="C75">IFERROR(INDEX('03.Muestra'!$F$8:$F$42,SMALL(IF("Página Web"='03.Muestra'!$D$8:$D$42,ROW('03.Muestra'!$F$8:$F$42)-MIN(ROW('03.Muestra'!$D$8:$D$42))+1,""),ROW()-56)),"")</f>
        <v>https://www.crtm.es/normativa</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Accesibilidad</v>
      </c>
      <c r="C76" s="114" t="str" cm="1">
        <f t="array" ref="C76">IFERROR(INDEX('03.Muestra'!$F$8:$F$42,SMALL(IF("Página Web"='03.Muestra'!$D$8:$D$42,ROW('03.Muestra'!$F$8:$F$42)-MIN(ROW('03.Muestra'!$D$8:$D$42))+1,""),ROW()-56)),"")</f>
        <v>https://www.crtm.es/accesibilidad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cm="1">
        <f t="array" ref="A77">IFERROR(INDEX('03.Muestra'!$B$8:$B$42,SMALL(IF("Página Web"='03.Muestra'!$D$8:$D$42,ROW('03.Muestra'!$B$8:$B$42)-MIN(ROW('03.Muestra'!$D$8:$D$42))+1,""),ROW()-56)),"")</f>
        <v>21</v>
      </c>
      <c r="B77" s="114" t="str" cm="1">
        <f t="array" ref="B77">IFERROR(INDEX('03.Muestra'!$C$8:$C$42,SMALL(IF("Página Web"='03.Muestra'!$D$8:$D$42,ROW('03.Muestra'!$C$8:$C$42)-MIN(ROW('03.Muestra'!$D$8:$D$42))+1,""),ROW()-56)),"")</f>
        <v>Modo accesible</v>
      </c>
      <c r="C77" s="114" t="str" cm="1">
        <f t="array" ref="C77">IFERROR(INDEX('03.Muestra'!$F$8:$F$42,SMALL(IF("Página Web"='03.Muestra'!$D$8:$D$42,ROW('03.Muestra'!$F$8:$F$42)-MIN(ROW('03.Muestra'!$D$8:$D$42))+1,""),ROW()-56)),"")</f>
        <v>https://www.crtm.es/</v>
      </c>
      <c r="D77" s="130" t="s">
        <v>34</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Red de metro</v>
      </c>
      <c r="C96" s="114"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21</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Líneas de metro</v>
      </c>
      <c r="C97" s="114"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Estaciones Aeropuerto T1-T2-T3</v>
      </c>
      <c r="C98" s="114"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Muévete por Madrid</v>
      </c>
      <c r="C99" s="114" t="str" cm="1">
        <f t="array" ref="C99">IFERROR(INDEX('03.Muestra'!$F$8:$F$42,SMALL(IF("Página Web"='03.Muestra'!$D$8:$D$42,ROW('03.Muestra'!$F$8:$F$42)-MIN(ROW('03.Muestra'!$D$8:$D$42))+1,""),ROW()-94)),"")</f>
        <v>https://www.crtm.es/muevete-por-madrid/</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conexiones con aeropuerto y principales estaciones</v>
      </c>
      <c r="C100" s="114"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desplazados Ucranianos</v>
      </c>
      <c r="C101" s="114"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Preguntas frecuentes (Tarjeta transporte público personal)</v>
      </c>
      <c r="C102" s="114"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Billetes y abonos (Metro)</v>
      </c>
      <c r="C103" s="114"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Billetes y tarifas (App)</v>
      </c>
      <c r="C104" s="114"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Atención al cliente</v>
      </c>
      <c r="C105" s="114"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Conócenos</v>
      </c>
      <c r="C106" s="114"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Actualidad del servicio</v>
      </c>
      <c r="C107" s="114"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Galería de fotos</v>
      </c>
      <c r="C108" s="114"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Protección de datos</v>
      </c>
      <c r="C110" s="114"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Política de cookies</v>
      </c>
      <c r="C111" s="114"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Aviso Legal</v>
      </c>
      <c r="C112" s="114"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Normativa</v>
      </c>
      <c r="C113" s="114"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Accesibilidad</v>
      </c>
      <c r="C114" s="114" t="str" cm="1">
        <f t="array" ref="C114">IFERROR(INDEX('03.Muestra'!$F$8:$F$42,SMALL(IF("Página Web"='03.Muestra'!$D$8:$D$42,ROW('03.Muestra'!$F$8:$F$42)-MIN(ROW('03.Muestra'!$D$8:$D$42))+1,""),ROW()-94)),"")</f>
        <v>https://www.crtm.es/accesibilidad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cm="1">
        <f t="array" ref="A115">IFERROR(INDEX('03.Muestra'!$B$8:$B$42,SMALL(IF("Página Web"='03.Muestra'!$D$8:$D$42,ROW('03.Muestra'!$B$8:$B$42)-MIN(ROW('03.Muestra'!$D$8:$D$42))+1,""),ROW()-94)),"")</f>
        <v>21</v>
      </c>
      <c r="B115" s="114" t="str" cm="1">
        <f t="array" ref="B115">IFERROR(INDEX('03.Muestra'!$C$8:$C$42,SMALL(IF("Página Web"='03.Muestra'!$D$8:$D$42,ROW('03.Muestra'!$C$8:$C$42)-MIN(ROW('03.Muestra'!$D$8:$D$42))+1,""),ROW()-94)),"")</f>
        <v>Modo accesible</v>
      </c>
      <c r="C115" s="114" t="str" cm="1">
        <f t="array" ref="C115">IFERROR(INDEX('03.Muestra'!$F$8:$F$42,SMALL(IF("Página Web"='03.Muestra'!$D$8:$D$42,ROW('03.Muestra'!$F$8:$F$42)-MIN(ROW('03.Muestra'!$D$8:$D$42))+1,""),ROW()-94)),"")</f>
        <v>https://www.crtm.es/</v>
      </c>
      <c r="D115" s="130" t="s">
        <v>34</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https://www.crtm.es/</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Red de metro</v>
      </c>
      <c r="C134" s="114" t="str" cm="1">
        <f t="array" ref="C134">IFERROR(INDEX('03.Muestra'!$F$8:$F$42,SMALL(IF("Página Web"='03.Muestra'!$D$8:$D$42,ROW('03.Muestra'!$F$8:$F$42)-MIN(ROW('03.Muestra'!$D$8:$D$42))+1,""),ROW()-132)),"")</f>
        <v>https://www.crtm.es/tu-transporte-publico/metro/</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21</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Líneas de metro</v>
      </c>
      <c r="C135" s="114" t="str" cm="1">
        <f t="array" ref="C135">IFERROR(INDEX('03.Muestra'!$F$8:$F$42,SMALL(IF("Página Web"='03.Muestra'!$D$8:$D$42,ROW('03.Muestra'!$F$8:$F$42)-MIN(ROW('03.Muestra'!$D$8:$D$42))+1,""),ROW()-132)),"")</f>
        <v>https://www.crtm.es/tu-transporte-publico/metro/lineas/4__1___</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Estaciones Aeropuerto T1-T2-T3</v>
      </c>
      <c r="C136" s="114" t="str" cm="1">
        <f t="array" ref="C136">IFERROR(INDEX('03.Muestra'!$F$8:$F$42,SMALL(IF("Página Web"='03.Muestra'!$D$8:$D$42,ROW('03.Muestra'!$F$8:$F$42)-MIN(ROW('03.Muestra'!$D$8:$D$42))+1,""),ROW()-132)),"")</f>
        <v>https://www.crtm.es/tu-transporte-publico/metro/estaciones/4_159</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Muévete por Madrid</v>
      </c>
      <c r="C137" s="114" t="str" cm="1">
        <f t="array" ref="C137">IFERROR(INDEX('03.Muestra'!$F$8:$F$42,SMALL(IF("Página Web"='03.Muestra'!$D$8:$D$42,ROW('03.Muestra'!$F$8:$F$42)-MIN(ROW('03.Muestra'!$D$8:$D$42))+1,""),ROW()-132)),"")</f>
        <v>https://www.crtm.es/muevete-por-madrid/</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conexiones con aeropuerto y principales estaciones</v>
      </c>
      <c r="C138" s="114" t="str" cm="1">
        <f t="array" ref="C138">IFERROR(INDEX('03.Muestra'!$F$8:$F$42,SMALL(IF("Página Web"='03.Muestra'!$D$8:$D$42,ROW('03.Muestra'!$F$8:$F$42)-MIN(ROW('03.Muestra'!$D$8:$D$42))+1,""),ROW()-132)),"")</f>
        <v xml:space="preserve">https://www.crtm.es/muevete-por-madrid/conexiones-con-aeropuerto-y-principales-estaciones/ </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desplazados Ucranianos</v>
      </c>
      <c r="C139" s="114" t="str" cm="1">
        <f t="array" ref="C139">IFERROR(INDEX('03.Muestra'!$F$8:$F$42,SMALL(IF("Página Web"='03.Muestra'!$D$8:$D$42,ROW('03.Muestra'!$F$8:$F$42)-MIN(ROW('03.Muestra'!$D$8:$D$42))+1,""),ROW()-132)),"")</f>
        <v>https://www.crtm.es/atencion-desplazados-ucranianos/#item3</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Preguntas frecuentes (Tarjeta transporte público personal)</v>
      </c>
      <c r="C140" s="114" t="str" cm="1">
        <f t="array" ref="C140">IFERROR(INDEX('03.Muestra'!$F$8:$F$42,SMALL(IF("Página Web"='03.Muestra'!$D$8:$D$42,ROW('03.Muestra'!$F$8:$F$42)-MIN(ROW('03.Muestra'!$D$8:$D$42))+1,""),ROW()-132)),"")</f>
        <v xml:space="preserve"> https://www.crtm.es/billetes-y-tarifas/tarjeta-transporte-publico/preguntas-frecuentes/#item23</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Billetes y abonos (Metro)</v>
      </c>
      <c r="C141" s="114" t="str" cm="1">
        <f t="array" ref="C141">IFERROR(INDEX('03.Muestra'!$F$8:$F$42,SMALL(IF("Página Web"='03.Muestra'!$D$8:$D$42,ROW('03.Muestra'!$F$8:$F$42)-MIN(ROW('03.Muestra'!$D$8:$D$42))+1,""),ROW()-132)),"")</f>
        <v>https://www.crtm.es/billetes-y-tarifas/billetes-y-abonos/metro/?idPestana=1&amp;lang=#item10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Billetes y tarifas (App)</v>
      </c>
      <c r="C142" s="114" t="str" cm="1">
        <f t="array" ref="C142">IFERROR(INDEX('03.Muestra'!$F$8:$F$42,SMALL(IF("Página Web"='03.Muestra'!$D$8:$D$42,ROW('03.Muestra'!$F$8:$F$42)-MIN(ROW('03.Muestra'!$D$8:$D$42))+1,""),ROW()-132)),"")</f>
        <v>https://www.crtm.es/billetes-y-tarifas/apps/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Atención al cliente</v>
      </c>
      <c r="C143" s="114" t="str" cm="1">
        <f t="array" ref="C143">IFERROR(INDEX('03.Muestra'!$F$8:$F$42,SMALL(IF("Página Web"='03.Muestra'!$D$8:$D$42,ROW('03.Muestra'!$F$8:$F$42)-MIN(ROW('03.Muestra'!$D$8:$D$42))+1,""),ROW()-132)),"")</f>
        <v>https://www.crtm.es/atencion-al-cliente/</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Conócenos</v>
      </c>
      <c r="C144" s="114" t="str" cm="1">
        <f t="array" ref="C144">IFERROR(INDEX('03.Muestra'!$F$8:$F$42,SMALL(IF("Página Web"='03.Muestra'!$D$8:$D$42,ROW('03.Muestra'!$F$8:$F$42)-MIN(ROW('03.Muestra'!$D$8:$D$42))+1,""),ROW()-132)),"")</f>
        <v>https://www.crtm.es/conocenos/#CentrodeDocumentacion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Actualidad del servicio</v>
      </c>
      <c r="C145" s="114" t="str" cm="1">
        <f t="array" ref="C145">IFERROR(INDEX('03.Muestra'!$F$8:$F$42,SMALL(IF("Página Web"='03.Muestra'!$D$8:$D$42,ROW('03.Muestra'!$F$8:$F$42)-MIN(ROW('03.Muestra'!$D$8:$D$42))+1,""),ROW()-132)),"")</f>
        <v>https://www.crtm.es/comunicacion/actualidad-del-servicio/?idPestana=1&amp;lang=es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Galería de fotos</v>
      </c>
      <c r="C146" s="114" t="str" cm="1">
        <f t="array" ref="C146">IFERROR(INDEX('03.Muestra'!$F$8:$F$42,SMALL(IF("Página Web"='03.Muestra'!$D$8:$D$42,ROW('03.Muestra'!$F$8:$F$42)-MIN(ROW('03.Muestra'!$D$8:$D$42))+1,""),ROW()-132)),"")</f>
        <v>https://www.crtm.es/comunicacion/multimedia/galeria-de-fotos/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https://www.crtm.es/mapa-web</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Protección de datos</v>
      </c>
      <c r="C148" s="114" t="str" cm="1">
        <f t="array" ref="C148">IFERROR(INDEX('03.Muestra'!$F$8:$F$42,SMALL(IF("Página Web"='03.Muestra'!$D$8:$D$42,ROW('03.Muestra'!$F$8:$F$42)-MIN(ROW('03.Muestra'!$D$8:$D$42))+1,""),ROW()-132)),"")</f>
        <v>https://www.crtm.es/proteccion-de-datos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Política de cookies</v>
      </c>
      <c r="C149" s="114" t="str" cm="1">
        <f t="array" ref="C149">IFERROR(INDEX('03.Muestra'!$F$8:$F$42,SMALL(IF("Página Web"='03.Muestra'!$D$8:$D$42,ROW('03.Muestra'!$F$8:$F$42)-MIN(ROW('03.Muestra'!$D$8:$D$42))+1,""),ROW()-132)),"")</f>
        <v>https://www.crtm.es/politica-de-cookies</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Aviso Legal</v>
      </c>
      <c r="C150" s="114" t="str" cm="1">
        <f t="array" ref="C150">IFERROR(INDEX('03.Muestra'!$F$8:$F$42,SMALL(IF("Página Web"='03.Muestra'!$D$8:$D$42,ROW('03.Muestra'!$F$8:$F$42)-MIN(ROW('03.Muestra'!$D$8:$D$42))+1,""),ROW()-132)),"")</f>
        <v>https://www.crtm.es/aviso-legal</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Normativa</v>
      </c>
      <c r="C151" s="114" t="str" cm="1">
        <f t="array" ref="C151">IFERROR(INDEX('03.Muestra'!$F$8:$F$42,SMALL(IF("Página Web"='03.Muestra'!$D$8:$D$42,ROW('03.Muestra'!$F$8:$F$42)-MIN(ROW('03.Muestra'!$D$8:$D$42))+1,""),ROW()-132)),"")</f>
        <v>https://www.crtm.es/normativa</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Accesibilidad</v>
      </c>
      <c r="C152" s="114" t="str" cm="1">
        <f t="array" ref="C152">IFERROR(INDEX('03.Muestra'!$F$8:$F$42,SMALL(IF("Página Web"='03.Muestra'!$D$8:$D$42,ROW('03.Muestra'!$F$8:$F$42)-MIN(ROW('03.Muestra'!$D$8:$D$42))+1,""),ROW()-132)),"")</f>
        <v>https://www.crtm.es/accesibilidad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cm="1">
        <f t="array" ref="A153">IFERROR(INDEX('03.Muestra'!$B$8:$B$42,SMALL(IF("Página Web"='03.Muestra'!$D$8:$D$42,ROW('03.Muestra'!$B$8:$B$42)-MIN(ROW('03.Muestra'!$D$8:$D$42))+1,""),ROW()-132)),"")</f>
        <v>21</v>
      </c>
      <c r="B153" s="114" t="str" cm="1">
        <f t="array" ref="B153">IFERROR(INDEX('03.Muestra'!$C$8:$C$42,SMALL(IF("Página Web"='03.Muestra'!$D$8:$D$42,ROW('03.Muestra'!$C$8:$C$42)-MIN(ROW('03.Muestra'!$D$8:$D$42))+1,""),ROW()-132)),"")</f>
        <v>Modo accesible</v>
      </c>
      <c r="C153" s="114" t="str" cm="1">
        <f t="array" ref="C153">IFERROR(INDEX('03.Muestra'!$F$8:$F$42,SMALL(IF("Página Web"='03.Muestra'!$D$8:$D$42,ROW('03.Muestra'!$F$8:$F$42)-MIN(ROW('03.Muestra'!$D$8:$D$42))+1,""),ROW()-132)),"")</f>
        <v>https://www.crtm.es/</v>
      </c>
      <c r="D153" s="130" t="s">
        <v>34</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ref="D154:D167" si="7">IF(AND(B154&lt;&gt;"",C154&lt;&gt;""),"N/T","")</f>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https://www.crtm.es/</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Red de metro</v>
      </c>
      <c r="C172" s="114" t="str" cm="1">
        <f t="array" ref="C172">IFERROR(INDEX('03.Muestra'!$F$8:$F$42,SMALL(IF("Página Web"='03.Muestra'!$D$8:$D$42,ROW('03.Muestra'!$F$8:$F$42)-MIN(ROW('03.Muestra'!$D$8:$D$42))+1,""),ROW()-170)),"")</f>
        <v>https://www.crtm.es/tu-transporte-publico/metro/</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21</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Líneas de metro</v>
      </c>
      <c r="C173" s="114" t="str" cm="1">
        <f t="array" ref="C173">IFERROR(INDEX('03.Muestra'!$F$8:$F$42,SMALL(IF("Página Web"='03.Muestra'!$D$8:$D$42,ROW('03.Muestra'!$F$8:$F$42)-MIN(ROW('03.Muestra'!$D$8:$D$42))+1,""),ROW()-170)),"")</f>
        <v>https://www.crtm.es/tu-transporte-publico/metro/lineas/4__1___</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Estaciones Aeropuerto T1-T2-T3</v>
      </c>
      <c r="C174" s="114" t="str" cm="1">
        <f t="array" ref="C174">IFERROR(INDEX('03.Muestra'!$F$8:$F$42,SMALL(IF("Página Web"='03.Muestra'!$D$8:$D$42,ROW('03.Muestra'!$F$8:$F$42)-MIN(ROW('03.Muestra'!$D$8:$D$42))+1,""),ROW()-170)),"")</f>
        <v>https://www.crtm.es/tu-transporte-publico/metro/estaciones/4_159</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Muévete por Madrid</v>
      </c>
      <c r="C175" s="114" t="str" cm="1">
        <f t="array" ref="C175">IFERROR(INDEX('03.Muestra'!$F$8:$F$42,SMALL(IF("Página Web"='03.Muestra'!$D$8:$D$42,ROW('03.Muestra'!$F$8:$F$42)-MIN(ROW('03.Muestra'!$D$8:$D$42))+1,""),ROW()-170)),"")</f>
        <v>https://www.crtm.es/muevete-por-madrid/</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conexiones con aeropuerto y principales estaciones</v>
      </c>
      <c r="C176" s="114" t="str" cm="1">
        <f t="array" ref="C176">IFERROR(INDEX('03.Muestra'!$F$8:$F$42,SMALL(IF("Página Web"='03.Muestra'!$D$8:$D$42,ROW('03.Muestra'!$F$8:$F$42)-MIN(ROW('03.Muestra'!$D$8:$D$42))+1,""),ROW()-170)),"")</f>
        <v xml:space="preserve">https://www.crtm.es/muevete-por-madrid/conexiones-con-aeropuerto-y-principales-estaciones/ </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desplazados Ucranianos</v>
      </c>
      <c r="C177" s="114" t="str" cm="1">
        <f t="array" ref="C177">IFERROR(INDEX('03.Muestra'!$F$8:$F$42,SMALL(IF("Página Web"='03.Muestra'!$D$8:$D$42,ROW('03.Muestra'!$F$8:$F$42)-MIN(ROW('03.Muestra'!$D$8:$D$42))+1,""),ROW()-170)),"")</f>
        <v>https://www.crtm.es/atencion-desplazados-ucranianos/#item3</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Preguntas frecuentes (Tarjeta transporte público personal)</v>
      </c>
      <c r="C178" s="114" t="str" cm="1">
        <f t="array" ref="C178">IFERROR(INDEX('03.Muestra'!$F$8:$F$42,SMALL(IF("Página Web"='03.Muestra'!$D$8:$D$42,ROW('03.Muestra'!$F$8:$F$42)-MIN(ROW('03.Muestra'!$D$8:$D$42))+1,""),ROW()-170)),"")</f>
        <v xml:space="preserve"> https://www.crtm.es/billetes-y-tarifas/tarjeta-transporte-publico/preguntas-frecuentes/#item23</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Billetes y abonos (Metro)</v>
      </c>
      <c r="C179" s="114" t="str" cm="1">
        <f t="array" ref="C179">IFERROR(INDEX('03.Muestra'!$F$8:$F$42,SMALL(IF("Página Web"='03.Muestra'!$D$8:$D$42,ROW('03.Muestra'!$F$8:$F$42)-MIN(ROW('03.Muestra'!$D$8:$D$42))+1,""),ROW()-170)),"")</f>
        <v>https://www.crtm.es/billetes-y-tarifas/billetes-y-abonos/metro/?idPestana=1&amp;lang=#item10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Billetes y tarifas (App)</v>
      </c>
      <c r="C180" s="114" t="str" cm="1">
        <f t="array" ref="C180">IFERROR(INDEX('03.Muestra'!$F$8:$F$42,SMALL(IF("Página Web"='03.Muestra'!$D$8:$D$42,ROW('03.Muestra'!$F$8:$F$42)-MIN(ROW('03.Muestra'!$D$8:$D$42))+1,""),ROW()-170)),"")</f>
        <v>https://www.crtm.es/billetes-y-tarifas/apps/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Atención al cliente</v>
      </c>
      <c r="C181" s="114" t="str" cm="1">
        <f t="array" ref="C181">IFERROR(INDEX('03.Muestra'!$F$8:$F$42,SMALL(IF("Página Web"='03.Muestra'!$D$8:$D$42,ROW('03.Muestra'!$F$8:$F$42)-MIN(ROW('03.Muestra'!$D$8:$D$42))+1,""),ROW()-170)),"")</f>
        <v>https://www.crtm.es/atencion-al-cliente/</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Conócenos</v>
      </c>
      <c r="C182" s="114" t="str" cm="1">
        <f t="array" ref="C182">IFERROR(INDEX('03.Muestra'!$F$8:$F$42,SMALL(IF("Página Web"='03.Muestra'!$D$8:$D$42,ROW('03.Muestra'!$F$8:$F$42)-MIN(ROW('03.Muestra'!$D$8:$D$42))+1,""),ROW()-170)),"")</f>
        <v>https://www.crtm.es/conocenos/#CentrodeDocumentacion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Actualidad del servicio</v>
      </c>
      <c r="C183" s="114" t="str" cm="1">
        <f t="array" ref="C183">IFERROR(INDEX('03.Muestra'!$F$8:$F$42,SMALL(IF("Página Web"='03.Muestra'!$D$8:$D$42,ROW('03.Muestra'!$F$8:$F$42)-MIN(ROW('03.Muestra'!$D$8:$D$42))+1,""),ROW()-170)),"")</f>
        <v>https://www.crtm.es/comunicacion/actualidad-del-servicio/?idPestana=1&amp;lang=es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Galería de fotos</v>
      </c>
      <c r="C184" s="114" t="str" cm="1">
        <f t="array" ref="C184">IFERROR(INDEX('03.Muestra'!$F$8:$F$42,SMALL(IF("Página Web"='03.Muestra'!$D$8:$D$42,ROW('03.Muestra'!$F$8:$F$42)-MIN(ROW('03.Muestra'!$D$8:$D$42))+1,""),ROW()-170)),"")</f>
        <v>https://www.crtm.es/comunicacion/multimedia/galeria-de-fotos/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https://www.crtm.es/mapa-web</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Protección de datos</v>
      </c>
      <c r="C186" s="114" t="str" cm="1">
        <f t="array" ref="C186">IFERROR(INDEX('03.Muestra'!$F$8:$F$42,SMALL(IF("Página Web"='03.Muestra'!$D$8:$D$42,ROW('03.Muestra'!$F$8:$F$42)-MIN(ROW('03.Muestra'!$D$8:$D$42))+1,""),ROW()-170)),"")</f>
        <v>https://www.crtm.es/proteccion-de-datos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Política de cookies</v>
      </c>
      <c r="C187" s="114" t="str" cm="1">
        <f t="array" ref="C187">IFERROR(INDEX('03.Muestra'!$F$8:$F$42,SMALL(IF("Página Web"='03.Muestra'!$D$8:$D$42,ROW('03.Muestra'!$F$8:$F$42)-MIN(ROW('03.Muestra'!$D$8:$D$42))+1,""),ROW()-170)),"")</f>
        <v>https://www.crtm.es/politica-de-cookies</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Aviso Legal</v>
      </c>
      <c r="C188" s="114" t="str" cm="1">
        <f t="array" ref="C188">IFERROR(INDEX('03.Muestra'!$F$8:$F$42,SMALL(IF("Página Web"='03.Muestra'!$D$8:$D$42,ROW('03.Muestra'!$F$8:$F$42)-MIN(ROW('03.Muestra'!$D$8:$D$42))+1,""),ROW()-170)),"")</f>
        <v>https://www.crtm.es/aviso-legal</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Normativa</v>
      </c>
      <c r="C189" s="114" t="str" cm="1">
        <f t="array" ref="C189">IFERROR(INDEX('03.Muestra'!$F$8:$F$42,SMALL(IF("Página Web"='03.Muestra'!$D$8:$D$42,ROW('03.Muestra'!$F$8:$F$42)-MIN(ROW('03.Muestra'!$D$8:$D$42))+1,""),ROW()-170)),"")</f>
        <v>https://www.crtm.es/normativa</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Accesibilidad</v>
      </c>
      <c r="C190" s="114" t="str" cm="1">
        <f t="array" ref="C190">IFERROR(INDEX('03.Muestra'!$F$8:$F$42,SMALL(IF("Página Web"='03.Muestra'!$D$8:$D$42,ROW('03.Muestra'!$F$8:$F$42)-MIN(ROW('03.Muestra'!$D$8:$D$42))+1,""),ROW()-170)),"")</f>
        <v>https://www.crtm.es/accesibilidad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cm="1">
        <f t="array" ref="A191">IFERROR(INDEX('03.Muestra'!$B$8:$B$42,SMALL(IF("Página Web"='03.Muestra'!$D$8:$D$42,ROW('03.Muestra'!$B$8:$B$42)-MIN(ROW('03.Muestra'!$D$8:$D$42))+1,""),ROW()-170)),"")</f>
        <v>21</v>
      </c>
      <c r="B191" s="114" t="str" cm="1">
        <f t="array" ref="B191">IFERROR(INDEX('03.Muestra'!$C$8:$C$42,SMALL(IF("Página Web"='03.Muestra'!$D$8:$D$42,ROW('03.Muestra'!$C$8:$C$42)-MIN(ROW('03.Muestra'!$D$8:$D$42))+1,""),ROW()-170)),"")</f>
        <v>Modo accesible</v>
      </c>
      <c r="C191" s="114" t="str" cm="1">
        <f t="array" ref="C191">IFERROR(INDEX('03.Muestra'!$F$8:$F$42,SMALL(IF("Página Web"='03.Muestra'!$D$8:$D$42,ROW('03.Muestra'!$F$8:$F$42)-MIN(ROW('03.Muestra'!$D$8:$D$42))+1,""),ROW()-170)),"")</f>
        <v>https://www.crtm.es/</v>
      </c>
      <c r="D191" s="130" t="s">
        <v>34</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ref="D192:D205" si="9">IF(AND(B192&lt;&gt;"",C192&lt;&gt;""),"N/T","")</f>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https://www.crtm.es/</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Red de metro</v>
      </c>
      <c r="C210" s="114" t="str" cm="1">
        <f t="array" ref="C210">IFERROR(INDEX('03.Muestra'!$F$8:$F$42,SMALL(IF("Página Web"='03.Muestra'!$D$8:$D$42,ROW('03.Muestra'!$F$8:$F$42)-MIN(ROW('03.Muestra'!$D$8:$D$42))+1,""),ROW()-208)),"")</f>
        <v>https://www.crtm.es/tu-transporte-publico/metro/</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21</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Líneas de metro</v>
      </c>
      <c r="C211" s="114" t="str" cm="1">
        <f t="array" ref="C211">IFERROR(INDEX('03.Muestra'!$F$8:$F$42,SMALL(IF("Página Web"='03.Muestra'!$D$8:$D$42,ROW('03.Muestra'!$F$8:$F$42)-MIN(ROW('03.Muestra'!$D$8:$D$42))+1,""),ROW()-208)),"")</f>
        <v>https://www.crtm.es/tu-transporte-publico/metro/lineas/4__1___</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Estaciones Aeropuerto T1-T2-T3</v>
      </c>
      <c r="C212" s="114" t="str" cm="1">
        <f t="array" ref="C212">IFERROR(INDEX('03.Muestra'!$F$8:$F$42,SMALL(IF("Página Web"='03.Muestra'!$D$8:$D$42,ROW('03.Muestra'!$F$8:$F$42)-MIN(ROW('03.Muestra'!$D$8:$D$42))+1,""),ROW()-208)),"")</f>
        <v>https://www.crtm.es/tu-transporte-publico/metro/estaciones/4_159</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Muévete por Madrid</v>
      </c>
      <c r="C213" s="114" t="str" cm="1">
        <f t="array" ref="C213">IFERROR(INDEX('03.Muestra'!$F$8:$F$42,SMALL(IF("Página Web"='03.Muestra'!$D$8:$D$42,ROW('03.Muestra'!$F$8:$F$42)-MIN(ROW('03.Muestra'!$D$8:$D$42))+1,""),ROW()-208)),"")</f>
        <v>https://www.crtm.es/muevete-por-madrid/</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conexiones con aeropuerto y principales estaciones</v>
      </c>
      <c r="C214" s="114" t="str" cm="1">
        <f t="array" ref="C214">IFERROR(INDEX('03.Muestra'!$F$8:$F$42,SMALL(IF("Página Web"='03.Muestra'!$D$8:$D$42,ROW('03.Muestra'!$F$8:$F$42)-MIN(ROW('03.Muestra'!$D$8:$D$42))+1,""),ROW()-208)),"")</f>
        <v xml:space="preserve">https://www.crtm.es/muevete-por-madrid/conexiones-con-aeropuerto-y-principales-estaciones/ </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desplazados Ucranianos</v>
      </c>
      <c r="C215" s="114" t="str" cm="1">
        <f t="array" ref="C215">IFERROR(INDEX('03.Muestra'!$F$8:$F$42,SMALL(IF("Página Web"='03.Muestra'!$D$8:$D$42,ROW('03.Muestra'!$F$8:$F$42)-MIN(ROW('03.Muestra'!$D$8:$D$42))+1,""),ROW()-208)),"")</f>
        <v>https://www.crtm.es/atencion-desplazados-ucranianos/#item3</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Preguntas frecuentes (Tarjeta transporte público personal)</v>
      </c>
      <c r="C216" s="114" t="str" cm="1">
        <f t="array" ref="C216">IFERROR(INDEX('03.Muestra'!$F$8:$F$42,SMALL(IF("Página Web"='03.Muestra'!$D$8:$D$42,ROW('03.Muestra'!$F$8:$F$42)-MIN(ROW('03.Muestra'!$D$8:$D$42))+1,""),ROW()-208)),"")</f>
        <v xml:space="preserve"> https://www.crtm.es/billetes-y-tarifas/tarjeta-transporte-publico/preguntas-frecuentes/#item23</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Billetes y abonos (Metro)</v>
      </c>
      <c r="C217" s="114" t="str" cm="1">
        <f t="array" ref="C217">IFERROR(INDEX('03.Muestra'!$F$8:$F$42,SMALL(IF("Página Web"='03.Muestra'!$D$8:$D$42,ROW('03.Muestra'!$F$8:$F$42)-MIN(ROW('03.Muestra'!$D$8:$D$42))+1,""),ROW()-208)),"")</f>
        <v>https://www.crtm.es/billetes-y-tarifas/billetes-y-abonos/metro/?idPestana=1&amp;lang=#item10</v>
      </c>
      <c r="D217" s="130" t="s">
        <v>34</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Billetes y tarifas (App)</v>
      </c>
      <c r="C218" s="114" t="str" cm="1">
        <f t="array" ref="C218">IFERROR(INDEX('03.Muestra'!$F$8:$F$42,SMALL(IF("Página Web"='03.Muestra'!$D$8:$D$42,ROW('03.Muestra'!$F$8:$F$42)-MIN(ROW('03.Muestra'!$D$8:$D$42))+1,""),ROW()-208)),"")</f>
        <v>https://www.crtm.es/billetes-y-tarifas/apps/</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Atención al cliente</v>
      </c>
      <c r="C219" s="114" t="str" cm="1">
        <f t="array" ref="C219">IFERROR(INDEX('03.Muestra'!$F$8:$F$42,SMALL(IF("Página Web"='03.Muestra'!$D$8:$D$42,ROW('03.Muestra'!$F$8:$F$42)-MIN(ROW('03.Muestra'!$D$8:$D$42))+1,""),ROW()-208)),"")</f>
        <v>https://www.crtm.es/atencion-al-cliente/</v>
      </c>
      <c r="D219" s="130" t="s">
        <v>34</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Conócenos</v>
      </c>
      <c r="C220" s="114" t="str" cm="1">
        <f t="array" ref="C220">IFERROR(INDEX('03.Muestra'!$F$8:$F$42,SMALL(IF("Página Web"='03.Muestra'!$D$8:$D$42,ROW('03.Muestra'!$F$8:$F$42)-MIN(ROW('03.Muestra'!$D$8:$D$42))+1,""),ROW()-208)),"")</f>
        <v>https://www.crtm.es/conocenos/#CentrodeDocumentacion</v>
      </c>
      <c r="D220" s="130" t="s">
        <v>34</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Actualidad del servicio</v>
      </c>
      <c r="C221" s="114" t="str" cm="1">
        <f t="array" ref="C221">IFERROR(INDEX('03.Muestra'!$F$8:$F$42,SMALL(IF("Página Web"='03.Muestra'!$D$8:$D$42,ROW('03.Muestra'!$F$8:$F$42)-MIN(ROW('03.Muestra'!$D$8:$D$42))+1,""),ROW()-208)),"")</f>
        <v>https://www.crtm.es/comunicacion/actualidad-del-servicio/?idPestana=1&amp;lang=es</v>
      </c>
      <c r="D221" s="130" t="s">
        <v>34</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Galería de fotos</v>
      </c>
      <c r="C222" s="114" t="str" cm="1">
        <f t="array" ref="C222">IFERROR(INDEX('03.Muestra'!$F$8:$F$42,SMALL(IF("Página Web"='03.Muestra'!$D$8:$D$42,ROW('03.Muestra'!$F$8:$F$42)-MIN(ROW('03.Muestra'!$D$8:$D$42))+1,""),ROW()-208)),"")</f>
        <v>https://www.crtm.es/comunicacion/multimedia/galeria-de-fotos/</v>
      </c>
      <c r="D222" s="130" t="s">
        <v>34</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https://www.crtm.es/mapa-web</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Protección de datos</v>
      </c>
      <c r="C224" s="114" t="str" cm="1">
        <f t="array" ref="C224">IFERROR(INDEX('03.Muestra'!$F$8:$F$42,SMALL(IF("Página Web"='03.Muestra'!$D$8:$D$42,ROW('03.Muestra'!$F$8:$F$42)-MIN(ROW('03.Muestra'!$D$8:$D$42))+1,""),ROW()-208)),"")</f>
        <v>https://www.crtm.es/proteccion-de-datos</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Política de cookies</v>
      </c>
      <c r="C225" s="114" t="str" cm="1">
        <f t="array" ref="C225">IFERROR(INDEX('03.Muestra'!$F$8:$F$42,SMALL(IF("Página Web"='03.Muestra'!$D$8:$D$42,ROW('03.Muestra'!$F$8:$F$42)-MIN(ROW('03.Muestra'!$D$8:$D$42))+1,""),ROW()-208)),"")</f>
        <v>https://www.crtm.es/politica-de-cookies</v>
      </c>
      <c r="D225" s="130" t="s">
        <v>34</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Aviso Legal</v>
      </c>
      <c r="C226" s="114" t="str" cm="1">
        <f t="array" ref="C226">IFERROR(INDEX('03.Muestra'!$F$8:$F$42,SMALL(IF("Página Web"='03.Muestra'!$D$8:$D$42,ROW('03.Muestra'!$F$8:$F$42)-MIN(ROW('03.Muestra'!$D$8:$D$42))+1,""),ROW()-208)),"")</f>
        <v>https://www.crtm.es/aviso-legal</v>
      </c>
      <c r="D226" s="130" t="s">
        <v>34</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Normativa</v>
      </c>
      <c r="C227" s="114" t="str" cm="1">
        <f t="array" ref="C227">IFERROR(INDEX('03.Muestra'!$F$8:$F$42,SMALL(IF("Página Web"='03.Muestra'!$D$8:$D$42,ROW('03.Muestra'!$F$8:$F$42)-MIN(ROW('03.Muestra'!$D$8:$D$42))+1,""),ROW()-208)),"")</f>
        <v>https://www.crtm.es/normativa</v>
      </c>
      <c r="D227" s="130" t="s">
        <v>34</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Accesibilidad</v>
      </c>
      <c r="C228" s="114" t="str" cm="1">
        <f t="array" ref="C228">IFERROR(INDEX('03.Muestra'!$F$8:$F$42,SMALL(IF("Página Web"='03.Muestra'!$D$8:$D$42,ROW('03.Muestra'!$F$8:$F$42)-MIN(ROW('03.Muestra'!$D$8:$D$42))+1,""),ROW()-208)),"")</f>
        <v>https://www.crtm.es/accesibilidad</v>
      </c>
      <c r="D228" s="130" t="s">
        <v>34</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cm="1">
        <f t="array" ref="A229">IFERROR(INDEX('03.Muestra'!$B$8:$B$42,SMALL(IF("Página Web"='03.Muestra'!$D$8:$D$42,ROW('03.Muestra'!$B$8:$B$42)-MIN(ROW('03.Muestra'!$D$8:$D$42))+1,""),ROW()-208)),"")</f>
        <v>21</v>
      </c>
      <c r="B229" s="114" t="str" cm="1">
        <f t="array" ref="B229">IFERROR(INDEX('03.Muestra'!$C$8:$C$42,SMALL(IF("Página Web"='03.Muestra'!$D$8:$D$42,ROW('03.Muestra'!$C$8:$C$42)-MIN(ROW('03.Muestra'!$D$8:$D$42))+1,""),ROW()-208)),"")</f>
        <v>Modo accesible</v>
      </c>
      <c r="C229" s="114" t="str" cm="1">
        <f t="array" ref="C229">IFERROR(INDEX('03.Muestra'!$F$8:$F$42,SMALL(IF("Página Web"='03.Muestra'!$D$8:$D$42,ROW('03.Muestra'!$F$8:$F$42)-MIN(ROW('03.Muestra'!$D$8:$D$42))+1,""),ROW()-208)),"")</f>
        <v>https://www.crtm.es/</v>
      </c>
      <c r="D229" s="130" t="s">
        <v>34</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ref="D230:D243" si="11">IF(AND(B230&lt;&gt;"",C230&lt;&gt;""),"N/T","")</f>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https://www.crtm.es/</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Red de metro</v>
      </c>
      <c r="C248" s="114" t="str" cm="1">
        <f t="array" ref="C248">IFERROR(INDEX('03.Muestra'!$F$8:$F$42,SMALL(IF("Página Web"='03.Muestra'!$D$8:$D$42,ROW('03.Muestra'!$F$8:$F$42)-MIN(ROW('03.Muestra'!$D$8:$D$42))+1,""),ROW()-246)),"")</f>
        <v>https://www.crtm.es/tu-transporte-publico/metro/</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21</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Líneas de metro</v>
      </c>
      <c r="C249" s="114" t="str" cm="1">
        <f t="array" ref="C249">IFERROR(INDEX('03.Muestra'!$F$8:$F$42,SMALL(IF("Página Web"='03.Muestra'!$D$8:$D$42,ROW('03.Muestra'!$F$8:$F$42)-MIN(ROW('03.Muestra'!$D$8:$D$42))+1,""),ROW()-246)),"")</f>
        <v>https://www.crtm.es/tu-transporte-publico/metro/lineas/4__1___</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Estaciones Aeropuerto T1-T2-T3</v>
      </c>
      <c r="C250" s="114" t="str" cm="1">
        <f t="array" ref="C250">IFERROR(INDEX('03.Muestra'!$F$8:$F$42,SMALL(IF("Página Web"='03.Muestra'!$D$8:$D$42,ROW('03.Muestra'!$F$8:$F$42)-MIN(ROW('03.Muestra'!$D$8:$D$42))+1,""),ROW()-246)),"")</f>
        <v>https://www.crtm.es/tu-transporte-publico/metro/estaciones/4_159</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Muévete por Madrid</v>
      </c>
      <c r="C251" s="114" t="str" cm="1">
        <f t="array" ref="C251">IFERROR(INDEX('03.Muestra'!$F$8:$F$42,SMALL(IF("Página Web"='03.Muestra'!$D$8:$D$42,ROW('03.Muestra'!$F$8:$F$42)-MIN(ROW('03.Muestra'!$D$8:$D$42))+1,""),ROW()-246)),"")</f>
        <v>https://www.crtm.es/muevete-por-madrid/</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conexiones con aeropuerto y principales estaciones</v>
      </c>
      <c r="C252" s="114" t="str" cm="1">
        <f t="array" ref="C252">IFERROR(INDEX('03.Muestra'!$F$8:$F$42,SMALL(IF("Página Web"='03.Muestra'!$D$8:$D$42,ROW('03.Muestra'!$F$8:$F$42)-MIN(ROW('03.Muestra'!$D$8:$D$42))+1,""),ROW()-246)),"")</f>
        <v xml:space="preserve">https://www.crtm.es/muevete-por-madrid/conexiones-con-aeropuerto-y-principales-estaciones/ </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desplazados Ucranianos</v>
      </c>
      <c r="C253" s="114" t="str" cm="1">
        <f t="array" ref="C253">IFERROR(INDEX('03.Muestra'!$F$8:$F$42,SMALL(IF("Página Web"='03.Muestra'!$D$8:$D$42,ROW('03.Muestra'!$F$8:$F$42)-MIN(ROW('03.Muestra'!$D$8:$D$42))+1,""),ROW()-246)),"")</f>
        <v>https://www.crtm.es/atencion-desplazados-ucranianos/#item3</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Preguntas frecuentes (Tarjeta transporte público personal)</v>
      </c>
      <c r="C254" s="114" t="str" cm="1">
        <f t="array" ref="C254">IFERROR(INDEX('03.Muestra'!$F$8:$F$42,SMALL(IF("Página Web"='03.Muestra'!$D$8:$D$42,ROW('03.Muestra'!$F$8:$F$42)-MIN(ROW('03.Muestra'!$D$8:$D$42))+1,""),ROW()-246)),"")</f>
        <v xml:space="preserve"> https://www.crtm.es/billetes-y-tarifas/tarjeta-transporte-publico/preguntas-frecuentes/#item23</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Billetes y abonos (Metro)</v>
      </c>
      <c r="C255" s="114" t="str" cm="1">
        <f t="array" ref="C255">IFERROR(INDEX('03.Muestra'!$F$8:$F$42,SMALL(IF("Página Web"='03.Muestra'!$D$8:$D$42,ROW('03.Muestra'!$F$8:$F$42)-MIN(ROW('03.Muestra'!$D$8:$D$42))+1,""),ROW()-246)),"")</f>
        <v>https://www.crtm.es/billetes-y-tarifas/billetes-y-abonos/metro/?idPestana=1&amp;lang=#item10</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Billetes y tarifas (App)</v>
      </c>
      <c r="C256" s="114" t="str" cm="1">
        <f t="array" ref="C256">IFERROR(INDEX('03.Muestra'!$F$8:$F$42,SMALL(IF("Página Web"='03.Muestra'!$D$8:$D$42,ROW('03.Muestra'!$F$8:$F$42)-MIN(ROW('03.Muestra'!$D$8:$D$42))+1,""),ROW()-246)),"")</f>
        <v>https://www.crtm.es/billetes-y-tarifas/apps/</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Atención al cliente</v>
      </c>
      <c r="C257" s="114" t="str" cm="1">
        <f t="array" ref="C257">IFERROR(INDEX('03.Muestra'!$F$8:$F$42,SMALL(IF("Página Web"='03.Muestra'!$D$8:$D$42,ROW('03.Muestra'!$F$8:$F$42)-MIN(ROW('03.Muestra'!$D$8:$D$42))+1,""),ROW()-246)),"")</f>
        <v>https://www.crtm.es/atencion-al-cliente/</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Conócenos</v>
      </c>
      <c r="C258" s="114" t="str" cm="1">
        <f t="array" ref="C258">IFERROR(INDEX('03.Muestra'!$F$8:$F$42,SMALL(IF("Página Web"='03.Muestra'!$D$8:$D$42,ROW('03.Muestra'!$F$8:$F$42)-MIN(ROW('03.Muestra'!$D$8:$D$42))+1,""),ROW()-246)),"")</f>
        <v>https://www.crtm.es/conocenos/#CentrodeDocumentacion</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Actualidad del servicio</v>
      </c>
      <c r="C259" s="114" t="str" cm="1">
        <f t="array" ref="C259">IFERROR(INDEX('03.Muestra'!$F$8:$F$42,SMALL(IF("Página Web"='03.Muestra'!$D$8:$D$42,ROW('03.Muestra'!$F$8:$F$42)-MIN(ROW('03.Muestra'!$D$8:$D$42))+1,""),ROW()-246)),"")</f>
        <v>https://www.crtm.es/comunicacion/actualidad-del-servicio/?idPestana=1&amp;lang=es</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Galería de fotos</v>
      </c>
      <c r="C260" s="114" t="str" cm="1">
        <f t="array" ref="C260">IFERROR(INDEX('03.Muestra'!$F$8:$F$42,SMALL(IF("Página Web"='03.Muestra'!$D$8:$D$42,ROW('03.Muestra'!$F$8:$F$42)-MIN(ROW('03.Muestra'!$D$8:$D$42))+1,""),ROW()-246)),"")</f>
        <v>https://www.crtm.es/comunicacion/multimedia/galeria-de-fotos/</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Mapa web</v>
      </c>
      <c r="C261" s="114" t="str" cm="1">
        <f t="array" ref="C261">IFERROR(INDEX('03.Muestra'!$F$8:$F$42,SMALL(IF("Página Web"='03.Muestra'!$D$8:$D$42,ROW('03.Muestra'!$F$8:$F$42)-MIN(ROW('03.Muestra'!$D$8:$D$42))+1,""),ROW()-246)),"")</f>
        <v>https://www.crtm.es/mapa-web</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Protección de datos</v>
      </c>
      <c r="C262" s="114" t="str" cm="1">
        <f t="array" ref="C262">IFERROR(INDEX('03.Muestra'!$F$8:$F$42,SMALL(IF("Página Web"='03.Muestra'!$D$8:$D$42,ROW('03.Muestra'!$F$8:$F$42)-MIN(ROW('03.Muestra'!$D$8:$D$42))+1,""),ROW()-246)),"")</f>
        <v>https://www.crtm.es/proteccion-de-datos</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Política de cookies</v>
      </c>
      <c r="C263" s="114" t="str" cm="1">
        <f t="array" ref="C263">IFERROR(INDEX('03.Muestra'!$F$8:$F$42,SMALL(IF("Página Web"='03.Muestra'!$D$8:$D$42,ROW('03.Muestra'!$F$8:$F$42)-MIN(ROW('03.Muestra'!$D$8:$D$42))+1,""),ROW()-246)),"")</f>
        <v>https://www.crtm.es/politica-de-cookies</v>
      </c>
      <c r="D263" s="130" t="s">
        <v>34</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Aviso Legal</v>
      </c>
      <c r="C264" s="114" t="str" cm="1">
        <f t="array" ref="C264">IFERROR(INDEX('03.Muestra'!$F$8:$F$42,SMALL(IF("Página Web"='03.Muestra'!$D$8:$D$42,ROW('03.Muestra'!$F$8:$F$42)-MIN(ROW('03.Muestra'!$D$8:$D$42))+1,""),ROW()-246)),"")</f>
        <v>https://www.crtm.es/aviso-legal</v>
      </c>
      <c r="D264" s="130" t="s">
        <v>34</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Normativa</v>
      </c>
      <c r="C265" s="114" t="str" cm="1">
        <f t="array" ref="C265">IFERROR(INDEX('03.Muestra'!$F$8:$F$42,SMALL(IF("Página Web"='03.Muestra'!$D$8:$D$42,ROW('03.Muestra'!$F$8:$F$42)-MIN(ROW('03.Muestra'!$D$8:$D$42))+1,""),ROW()-246)),"")</f>
        <v>https://www.crtm.es/normativa</v>
      </c>
      <c r="D265" s="130" t="s">
        <v>34</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Accesibilidad</v>
      </c>
      <c r="C266" s="114" t="str" cm="1">
        <f t="array" ref="C266">IFERROR(INDEX('03.Muestra'!$F$8:$F$42,SMALL(IF("Página Web"='03.Muestra'!$D$8:$D$42,ROW('03.Muestra'!$F$8:$F$42)-MIN(ROW('03.Muestra'!$D$8:$D$42))+1,""),ROW()-246)),"")</f>
        <v>https://www.crtm.es/accesibilidad</v>
      </c>
      <c r="D266" s="130" t="s">
        <v>34</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cm="1">
        <f t="array" ref="A267">IFERROR(INDEX('03.Muestra'!$B$8:$B$42,SMALL(IF("Página Web"='03.Muestra'!$D$8:$D$42,ROW('03.Muestra'!$B$8:$B$42)-MIN(ROW('03.Muestra'!$D$8:$D$42))+1,""),ROW()-246)),"")</f>
        <v>21</v>
      </c>
      <c r="B267" s="114" t="str" cm="1">
        <f t="array" ref="B267">IFERROR(INDEX('03.Muestra'!$C$8:$C$42,SMALL(IF("Página Web"='03.Muestra'!$D$8:$D$42,ROW('03.Muestra'!$C$8:$C$42)-MIN(ROW('03.Muestra'!$D$8:$D$42))+1,""),ROW()-246)),"")</f>
        <v>Modo accesible</v>
      </c>
      <c r="C267" s="114" t="str" cm="1">
        <f t="array" ref="C267">IFERROR(INDEX('03.Muestra'!$F$8:$F$42,SMALL(IF("Página Web"='03.Muestra'!$D$8:$D$42,ROW('03.Muestra'!$F$8:$F$42)-MIN(ROW('03.Muestra'!$D$8:$D$42))+1,""),ROW()-246)),"")</f>
        <v>https://www.crtm.es/</v>
      </c>
      <c r="D267" s="130" t="s">
        <v>34</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ref="D268:D281" si="13">IF(AND(B268&lt;&gt;"",C268&lt;&gt;""),"N/T","")</f>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https://www.crtm.es/</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Red de metro</v>
      </c>
      <c r="C286" s="114" t="str" cm="1">
        <f t="array" ref="C286">IFERROR(INDEX('03.Muestra'!$F$8:$F$42,SMALL(IF("Página Web"='03.Muestra'!$D$8:$D$42,ROW('03.Muestra'!$F$8:$F$42)-MIN(ROW('03.Muestra'!$D$8:$D$42))+1,""),ROW()-284)),"")</f>
        <v>https://www.crtm.es/tu-transporte-publico/metro/</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21</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Líneas de metro</v>
      </c>
      <c r="C287" s="114" t="str" cm="1">
        <f t="array" ref="C287">IFERROR(INDEX('03.Muestra'!$F$8:$F$42,SMALL(IF("Página Web"='03.Muestra'!$D$8:$D$42,ROW('03.Muestra'!$F$8:$F$42)-MIN(ROW('03.Muestra'!$D$8:$D$42))+1,""),ROW()-284)),"")</f>
        <v>https://www.crtm.es/tu-transporte-publico/metro/lineas/4__1___</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Estaciones Aeropuerto T1-T2-T3</v>
      </c>
      <c r="C288" s="114" t="str" cm="1">
        <f t="array" ref="C288">IFERROR(INDEX('03.Muestra'!$F$8:$F$42,SMALL(IF("Página Web"='03.Muestra'!$D$8:$D$42,ROW('03.Muestra'!$F$8:$F$42)-MIN(ROW('03.Muestra'!$D$8:$D$42))+1,""),ROW()-284)),"")</f>
        <v>https://www.crtm.es/tu-transporte-publico/metro/estaciones/4_159</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Muévete por Madrid</v>
      </c>
      <c r="C289" s="114" t="str" cm="1">
        <f t="array" ref="C289">IFERROR(INDEX('03.Muestra'!$F$8:$F$42,SMALL(IF("Página Web"='03.Muestra'!$D$8:$D$42,ROW('03.Muestra'!$F$8:$F$42)-MIN(ROW('03.Muestra'!$D$8:$D$42))+1,""),ROW()-284)),"")</f>
        <v>https://www.crtm.es/muevete-por-madrid/</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conexiones con aeropuerto y principales estaciones</v>
      </c>
      <c r="C290" s="114" t="str" cm="1">
        <f t="array" ref="C290">IFERROR(INDEX('03.Muestra'!$F$8:$F$42,SMALL(IF("Página Web"='03.Muestra'!$D$8:$D$42,ROW('03.Muestra'!$F$8:$F$42)-MIN(ROW('03.Muestra'!$D$8:$D$42))+1,""),ROW()-284)),"")</f>
        <v xml:space="preserve">https://www.crtm.es/muevete-por-madrid/conexiones-con-aeropuerto-y-principales-estaciones/ </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desplazados Ucranianos</v>
      </c>
      <c r="C291" s="114" t="str" cm="1">
        <f t="array" ref="C291">IFERROR(INDEX('03.Muestra'!$F$8:$F$42,SMALL(IF("Página Web"='03.Muestra'!$D$8:$D$42,ROW('03.Muestra'!$F$8:$F$42)-MIN(ROW('03.Muestra'!$D$8:$D$42))+1,""),ROW()-284)),"")</f>
        <v>https://www.crtm.es/atencion-desplazados-ucranianos/#item3</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Preguntas frecuentes (Tarjeta transporte público personal)</v>
      </c>
      <c r="C292" s="114" t="str" cm="1">
        <f t="array" ref="C292">IFERROR(INDEX('03.Muestra'!$F$8:$F$42,SMALL(IF("Página Web"='03.Muestra'!$D$8:$D$42,ROW('03.Muestra'!$F$8:$F$42)-MIN(ROW('03.Muestra'!$D$8:$D$42))+1,""),ROW()-284)),"")</f>
        <v xml:space="preserve"> https://www.crtm.es/billetes-y-tarifas/tarjeta-transporte-publico/preguntas-frecuentes/#item23</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Billetes y abonos (Metro)</v>
      </c>
      <c r="C293" s="114" t="str" cm="1">
        <f t="array" ref="C293">IFERROR(INDEX('03.Muestra'!$F$8:$F$42,SMALL(IF("Página Web"='03.Muestra'!$D$8:$D$42,ROW('03.Muestra'!$F$8:$F$42)-MIN(ROW('03.Muestra'!$D$8:$D$42))+1,""),ROW()-284)),"")</f>
        <v>https://www.crtm.es/billetes-y-tarifas/billetes-y-abonos/metro/?idPestana=1&amp;lang=#item10</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Billetes y tarifas (App)</v>
      </c>
      <c r="C294" s="114" t="str" cm="1">
        <f t="array" ref="C294">IFERROR(INDEX('03.Muestra'!$F$8:$F$42,SMALL(IF("Página Web"='03.Muestra'!$D$8:$D$42,ROW('03.Muestra'!$F$8:$F$42)-MIN(ROW('03.Muestra'!$D$8:$D$42))+1,""),ROW()-284)),"")</f>
        <v>https://www.crtm.es/billetes-y-tarifas/apps/</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Atención al cliente</v>
      </c>
      <c r="C295" s="114" t="str" cm="1">
        <f t="array" ref="C295">IFERROR(INDEX('03.Muestra'!$F$8:$F$42,SMALL(IF("Página Web"='03.Muestra'!$D$8:$D$42,ROW('03.Muestra'!$F$8:$F$42)-MIN(ROW('03.Muestra'!$D$8:$D$42))+1,""),ROW()-284)),"")</f>
        <v>https://www.crtm.es/atencion-al-cliente/</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Conócenos</v>
      </c>
      <c r="C296" s="114" t="str" cm="1">
        <f t="array" ref="C296">IFERROR(INDEX('03.Muestra'!$F$8:$F$42,SMALL(IF("Página Web"='03.Muestra'!$D$8:$D$42,ROW('03.Muestra'!$F$8:$F$42)-MIN(ROW('03.Muestra'!$D$8:$D$42))+1,""),ROW()-284)),"")</f>
        <v>https://www.crtm.es/conocenos/#CentrodeDocumentacion</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Actualidad del servicio</v>
      </c>
      <c r="C297" s="114" t="str" cm="1">
        <f t="array" ref="C297">IFERROR(INDEX('03.Muestra'!$F$8:$F$42,SMALL(IF("Página Web"='03.Muestra'!$D$8:$D$42,ROW('03.Muestra'!$F$8:$F$42)-MIN(ROW('03.Muestra'!$D$8:$D$42))+1,""),ROW()-284)),"")</f>
        <v>https://www.crtm.es/comunicacion/actualidad-del-servicio/?idPestana=1&amp;lang=es</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Galería de fotos</v>
      </c>
      <c r="C298" s="114" t="str" cm="1">
        <f t="array" ref="C298">IFERROR(INDEX('03.Muestra'!$F$8:$F$42,SMALL(IF("Página Web"='03.Muestra'!$D$8:$D$42,ROW('03.Muestra'!$F$8:$F$42)-MIN(ROW('03.Muestra'!$D$8:$D$42))+1,""),ROW()-284)),"")</f>
        <v>https://www.crtm.es/comunicacion/multimedia/galeria-de-fotos/</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Mapa web</v>
      </c>
      <c r="C299" s="114" t="str" cm="1">
        <f t="array" ref="C299">IFERROR(INDEX('03.Muestra'!$F$8:$F$42,SMALL(IF("Página Web"='03.Muestra'!$D$8:$D$42,ROW('03.Muestra'!$F$8:$F$42)-MIN(ROW('03.Muestra'!$D$8:$D$42))+1,""),ROW()-284)),"")</f>
        <v>https://www.crtm.es/mapa-web</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Protección de datos</v>
      </c>
      <c r="C300" s="114" t="str" cm="1">
        <f t="array" ref="C300">IFERROR(INDEX('03.Muestra'!$F$8:$F$42,SMALL(IF("Página Web"='03.Muestra'!$D$8:$D$42,ROW('03.Muestra'!$F$8:$F$42)-MIN(ROW('03.Muestra'!$D$8:$D$42))+1,""),ROW()-284)),"")</f>
        <v>https://www.crtm.es/proteccion-de-datos</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Política de cookies</v>
      </c>
      <c r="C301" s="114" t="str" cm="1">
        <f t="array" ref="C301">IFERROR(INDEX('03.Muestra'!$F$8:$F$42,SMALL(IF("Página Web"='03.Muestra'!$D$8:$D$42,ROW('03.Muestra'!$F$8:$F$42)-MIN(ROW('03.Muestra'!$D$8:$D$42))+1,""),ROW()-284)),"")</f>
        <v>https://www.crtm.es/politica-de-cookies</v>
      </c>
      <c r="D301" s="130" t="s">
        <v>34</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Aviso Legal</v>
      </c>
      <c r="C302" s="114" t="str" cm="1">
        <f t="array" ref="C302">IFERROR(INDEX('03.Muestra'!$F$8:$F$42,SMALL(IF("Página Web"='03.Muestra'!$D$8:$D$42,ROW('03.Muestra'!$F$8:$F$42)-MIN(ROW('03.Muestra'!$D$8:$D$42))+1,""),ROW()-284)),"")</f>
        <v>https://www.crtm.es/aviso-legal</v>
      </c>
      <c r="D302" s="130" t="s">
        <v>34</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Normativa</v>
      </c>
      <c r="C303" s="114" t="str" cm="1">
        <f t="array" ref="C303">IFERROR(INDEX('03.Muestra'!$F$8:$F$42,SMALL(IF("Página Web"='03.Muestra'!$D$8:$D$42,ROW('03.Muestra'!$F$8:$F$42)-MIN(ROW('03.Muestra'!$D$8:$D$42))+1,""),ROW()-284)),"")</f>
        <v>https://www.crtm.es/normativa</v>
      </c>
      <c r="D303" s="130" t="s">
        <v>34</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Accesibilidad</v>
      </c>
      <c r="C304" s="114" t="str" cm="1">
        <f t="array" ref="C304">IFERROR(INDEX('03.Muestra'!$F$8:$F$42,SMALL(IF("Página Web"='03.Muestra'!$D$8:$D$42,ROW('03.Muestra'!$F$8:$F$42)-MIN(ROW('03.Muestra'!$D$8:$D$42))+1,""),ROW()-284)),"")</f>
        <v>https://www.crtm.es/accesibilidad</v>
      </c>
      <c r="D304" s="130" t="s">
        <v>34</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cm="1">
        <f t="array" ref="A305">IFERROR(INDEX('03.Muestra'!$B$8:$B$42,SMALL(IF("Página Web"='03.Muestra'!$D$8:$D$42,ROW('03.Muestra'!$B$8:$B$42)-MIN(ROW('03.Muestra'!$D$8:$D$42))+1,""),ROW()-284)),"")</f>
        <v>21</v>
      </c>
      <c r="B305" s="114" t="str" cm="1">
        <f t="array" ref="B305">IFERROR(INDEX('03.Muestra'!$C$8:$C$42,SMALL(IF("Página Web"='03.Muestra'!$D$8:$D$42,ROW('03.Muestra'!$C$8:$C$42)-MIN(ROW('03.Muestra'!$D$8:$D$42))+1,""),ROW()-284)),"")</f>
        <v>Modo accesible</v>
      </c>
      <c r="C305" s="114" t="str" cm="1">
        <f t="array" ref="C305">IFERROR(INDEX('03.Muestra'!$F$8:$F$42,SMALL(IF("Página Web"='03.Muestra'!$D$8:$D$42,ROW('03.Muestra'!$F$8:$F$42)-MIN(ROW('03.Muestra'!$D$8:$D$42))+1,""),ROW()-284)),"")</f>
        <v>https://www.crtm.es/</v>
      </c>
      <c r="D305" s="130" t="s">
        <v>34</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ref="D306:D319" si="15">IF(AND(B306&lt;&gt;"",C306&lt;&gt;""),"N/T","")</f>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https://www.crtm.es/</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Red de metro</v>
      </c>
      <c r="C324" s="114" t="str" cm="1">
        <f t="array" ref="C324">IFERROR(INDEX('03.Muestra'!$F$8:$F$42,SMALL(IF("Página Web"='03.Muestra'!$D$8:$D$42,ROW('03.Muestra'!$F$8:$F$42)-MIN(ROW('03.Muestra'!$D$8:$D$42))+1,""),ROW()-322)),"")</f>
        <v>https://www.crtm.es/tu-transporte-publico/metro/</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21</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Líneas de metro</v>
      </c>
      <c r="C325" s="114" t="str" cm="1">
        <f t="array" ref="C325">IFERROR(INDEX('03.Muestra'!$F$8:$F$42,SMALL(IF("Página Web"='03.Muestra'!$D$8:$D$42,ROW('03.Muestra'!$F$8:$F$42)-MIN(ROW('03.Muestra'!$D$8:$D$42))+1,""),ROW()-322)),"")</f>
        <v>https://www.crtm.es/tu-transporte-publico/metro/lineas/4__1___</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Estaciones Aeropuerto T1-T2-T3</v>
      </c>
      <c r="C326" s="114" t="str" cm="1">
        <f t="array" ref="C326">IFERROR(INDEX('03.Muestra'!$F$8:$F$42,SMALL(IF("Página Web"='03.Muestra'!$D$8:$D$42,ROW('03.Muestra'!$F$8:$F$42)-MIN(ROW('03.Muestra'!$D$8:$D$42))+1,""),ROW()-322)),"")</f>
        <v>https://www.crtm.es/tu-transporte-publico/metro/estaciones/4_159</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Muévete por Madrid</v>
      </c>
      <c r="C327" s="114" t="str" cm="1">
        <f t="array" ref="C327">IFERROR(INDEX('03.Muestra'!$F$8:$F$42,SMALL(IF("Página Web"='03.Muestra'!$D$8:$D$42,ROW('03.Muestra'!$F$8:$F$42)-MIN(ROW('03.Muestra'!$D$8:$D$42))+1,""),ROW()-322)),"")</f>
        <v>https://www.crtm.es/muevete-por-madrid/</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conexiones con aeropuerto y principales estaciones</v>
      </c>
      <c r="C328" s="114" t="str" cm="1">
        <f t="array" ref="C328">IFERROR(INDEX('03.Muestra'!$F$8:$F$42,SMALL(IF("Página Web"='03.Muestra'!$D$8:$D$42,ROW('03.Muestra'!$F$8:$F$42)-MIN(ROW('03.Muestra'!$D$8:$D$42))+1,""),ROW()-322)),"")</f>
        <v xml:space="preserve">https://www.crtm.es/muevete-por-madrid/conexiones-con-aeropuerto-y-principales-estaciones/ </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desplazados Ucranianos</v>
      </c>
      <c r="C329" s="114" t="str" cm="1">
        <f t="array" ref="C329">IFERROR(INDEX('03.Muestra'!$F$8:$F$42,SMALL(IF("Página Web"='03.Muestra'!$D$8:$D$42,ROW('03.Muestra'!$F$8:$F$42)-MIN(ROW('03.Muestra'!$D$8:$D$42))+1,""),ROW()-322)),"")</f>
        <v>https://www.crtm.es/atencion-desplazados-ucranianos/#item3</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Preguntas frecuentes (Tarjeta transporte público personal)</v>
      </c>
      <c r="C330" s="114" t="str" cm="1">
        <f t="array" ref="C330">IFERROR(INDEX('03.Muestra'!$F$8:$F$42,SMALL(IF("Página Web"='03.Muestra'!$D$8:$D$42,ROW('03.Muestra'!$F$8:$F$42)-MIN(ROW('03.Muestra'!$D$8:$D$42))+1,""),ROW()-322)),"")</f>
        <v xml:space="preserve"> https://www.crtm.es/billetes-y-tarifas/tarjeta-transporte-publico/preguntas-frecuentes/#item23</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Billetes y abonos (Metro)</v>
      </c>
      <c r="C331" s="114" t="str" cm="1">
        <f t="array" ref="C331">IFERROR(INDEX('03.Muestra'!$F$8:$F$42,SMALL(IF("Página Web"='03.Muestra'!$D$8:$D$42,ROW('03.Muestra'!$F$8:$F$42)-MIN(ROW('03.Muestra'!$D$8:$D$42))+1,""),ROW()-322)),"")</f>
        <v>https://www.crtm.es/billetes-y-tarifas/billetes-y-abonos/metro/?idPestana=1&amp;lang=#item10</v>
      </c>
      <c r="D331" s="130" t="s">
        <v>34</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Billetes y tarifas (App)</v>
      </c>
      <c r="C332" s="114" t="str" cm="1">
        <f t="array" ref="C332">IFERROR(INDEX('03.Muestra'!$F$8:$F$42,SMALL(IF("Página Web"='03.Muestra'!$D$8:$D$42,ROW('03.Muestra'!$F$8:$F$42)-MIN(ROW('03.Muestra'!$D$8:$D$42))+1,""),ROW()-322)),"")</f>
        <v>https://www.crtm.es/billetes-y-tarifas/apps/</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Atención al cliente</v>
      </c>
      <c r="C333" s="114" t="str" cm="1">
        <f t="array" ref="C333">IFERROR(INDEX('03.Muestra'!$F$8:$F$42,SMALL(IF("Página Web"='03.Muestra'!$D$8:$D$42,ROW('03.Muestra'!$F$8:$F$42)-MIN(ROW('03.Muestra'!$D$8:$D$42))+1,""),ROW()-322)),"")</f>
        <v>https://www.crtm.es/atencion-al-cliente/</v>
      </c>
      <c r="D333" s="130" t="s">
        <v>34</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Conócenos</v>
      </c>
      <c r="C334" s="114" t="str" cm="1">
        <f t="array" ref="C334">IFERROR(INDEX('03.Muestra'!$F$8:$F$42,SMALL(IF("Página Web"='03.Muestra'!$D$8:$D$42,ROW('03.Muestra'!$F$8:$F$42)-MIN(ROW('03.Muestra'!$D$8:$D$42))+1,""),ROW()-322)),"")</f>
        <v>https://www.crtm.es/conocenos/#CentrodeDocumentacion</v>
      </c>
      <c r="D334" s="130" t="s">
        <v>34</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Actualidad del servicio</v>
      </c>
      <c r="C335" s="114" t="str" cm="1">
        <f t="array" ref="C335">IFERROR(INDEX('03.Muestra'!$F$8:$F$42,SMALL(IF("Página Web"='03.Muestra'!$D$8:$D$42,ROW('03.Muestra'!$F$8:$F$42)-MIN(ROW('03.Muestra'!$D$8:$D$42))+1,""),ROW()-322)),"")</f>
        <v>https://www.crtm.es/comunicacion/actualidad-del-servicio/?idPestana=1&amp;lang=es</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Galería de fotos</v>
      </c>
      <c r="C336" s="114" t="str" cm="1">
        <f t="array" ref="C336">IFERROR(INDEX('03.Muestra'!$F$8:$F$42,SMALL(IF("Página Web"='03.Muestra'!$D$8:$D$42,ROW('03.Muestra'!$F$8:$F$42)-MIN(ROW('03.Muestra'!$D$8:$D$42))+1,""),ROW()-322)),"")</f>
        <v>https://www.crtm.es/comunicacion/multimedia/galeria-de-fotos/</v>
      </c>
      <c r="D336" s="130" t="s">
        <v>34</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Mapa web</v>
      </c>
      <c r="C337" s="114" t="str" cm="1">
        <f t="array" ref="C337">IFERROR(INDEX('03.Muestra'!$F$8:$F$42,SMALL(IF("Página Web"='03.Muestra'!$D$8:$D$42,ROW('03.Muestra'!$F$8:$F$42)-MIN(ROW('03.Muestra'!$D$8:$D$42))+1,""),ROW()-322)),"")</f>
        <v>https://www.crtm.es/mapa-web</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Protección de datos</v>
      </c>
      <c r="C338" s="114" t="str" cm="1">
        <f t="array" ref="C338">IFERROR(INDEX('03.Muestra'!$F$8:$F$42,SMALL(IF("Página Web"='03.Muestra'!$D$8:$D$42,ROW('03.Muestra'!$F$8:$F$42)-MIN(ROW('03.Muestra'!$D$8:$D$42))+1,""),ROW()-322)),"")</f>
        <v>https://www.crtm.es/proteccion-de-datos</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Política de cookies</v>
      </c>
      <c r="C339" s="114" t="str" cm="1">
        <f t="array" ref="C339">IFERROR(INDEX('03.Muestra'!$F$8:$F$42,SMALL(IF("Página Web"='03.Muestra'!$D$8:$D$42,ROW('03.Muestra'!$F$8:$F$42)-MIN(ROW('03.Muestra'!$D$8:$D$42))+1,""),ROW()-322)),"")</f>
        <v>https://www.crtm.es/politica-de-cookies</v>
      </c>
      <c r="D339" s="130" t="s">
        <v>34</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Aviso Legal</v>
      </c>
      <c r="C340" s="114" t="str" cm="1">
        <f t="array" ref="C340">IFERROR(INDEX('03.Muestra'!$F$8:$F$42,SMALL(IF("Página Web"='03.Muestra'!$D$8:$D$42,ROW('03.Muestra'!$F$8:$F$42)-MIN(ROW('03.Muestra'!$D$8:$D$42))+1,""),ROW()-322)),"")</f>
        <v>https://www.crtm.es/aviso-legal</v>
      </c>
      <c r="D340" s="130" t="s">
        <v>34</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Normativa</v>
      </c>
      <c r="C341" s="114" t="str" cm="1">
        <f t="array" ref="C341">IFERROR(INDEX('03.Muestra'!$F$8:$F$42,SMALL(IF("Página Web"='03.Muestra'!$D$8:$D$42,ROW('03.Muestra'!$F$8:$F$42)-MIN(ROW('03.Muestra'!$D$8:$D$42))+1,""),ROW()-322)),"")</f>
        <v>https://www.crtm.es/normativa</v>
      </c>
      <c r="D341" s="130" t="s">
        <v>34</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Accesibilidad</v>
      </c>
      <c r="C342" s="114" t="str" cm="1">
        <f t="array" ref="C342">IFERROR(INDEX('03.Muestra'!$F$8:$F$42,SMALL(IF("Página Web"='03.Muestra'!$D$8:$D$42,ROW('03.Muestra'!$F$8:$F$42)-MIN(ROW('03.Muestra'!$D$8:$D$42))+1,""),ROW()-322)),"")</f>
        <v>https://www.crtm.es/accesibilidad</v>
      </c>
      <c r="D342" s="130" t="s">
        <v>34</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cm="1">
        <f t="array" ref="A343">IFERROR(INDEX('03.Muestra'!$B$8:$B$42,SMALL(IF("Página Web"='03.Muestra'!$D$8:$D$42,ROW('03.Muestra'!$B$8:$B$42)-MIN(ROW('03.Muestra'!$D$8:$D$42))+1,""),ROW()-322)),"")</f>
        <v>21</v>
      </c>
      <c r="B343" s="114" t="str" cm="1">
        <f t="array" ref="B343">IFERROR(INDEX('03.Muestra'!$C$8:$C$42,SMALL(IF("Página Web"='03.Muestra'!$D$8:$D$42,ROW('03.Muestra'!$C$8:$C$42)-MIN(ROW('03.Muestra'!$D$8:$D$42))+1,""),ROW()-322)),"")</f>
        <v>Modo accesible</v>
      </c>
      <c r="C343" s="114" t="str" cm="1">
        <f t="array" ref="C343">IFERROR(INDEX('03.Muestra'!$F$8:$F$42,SMALL(IF("Página Web"='03.Muestra'!$D$8:$D$42,ROW('03.Muestra'!$F$8:$F$42)-MIN(ROW('03.Muestra'!$D$8:$D$42))+1,""),ROW()-322)),"")</f>
        <v>https://www.crtm.es/</v>
      </c>
      <c r="D343" s="130" t="s">
        <v>34</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ref="D344:D357" si="17">IF(AND(B344&lt;&gt;"",C344&lt;&gt;""),"N/T","")</f>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C1679" sqref="C1679"/>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67"/>
      <c r="C6" s="167"/>
      <c r="D6" s="167"/>
      <c r="E6" s="168"/>
      <c r="F6" s="167"/>
      <c r="G6" s="167"/>
      <c r="H6" s="167"/>
      <c r="I6" s="167"/>
      <c r="J6" s="167"/>
      <c r="K6" s="167"/>
      <c r="L6" s="167"/>
      <c r="M6" s="167"/>
      <c r="N6" s="19"/>
      <c r="O6" s="19"/>
    </row>
    <row r="7" spans="1:64" ht="12.65" customHeight="1">
      <c r="B7" s="19"/>
      <c r="C7" s="19"/>
      <c r="D7" s="19"/>
      <c r="E7" s="107"/>
      <c r="F7" s="19"/>
      <c r="G7" s="19"/>
      <c r="H7" s="19"/>
      <c r="I7" s="19"/>
      <c r="J7" s="19"/>
      <c r="K7" s="19"/>
      <c r="L7" s="19"/>
      <c r="M7" s="19"/>
      <c r="N7" s="19"/>
      <c r="O7" s="19"/>
    </row>
    <row r="8" spans="1:64" ht="18.899999999999999" customHeight="1">
      <c r="B8" s="111" t="s">
        <v>152</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339</v>
      </c>
      <c r="H12" s="53">
        <f ca="1">IF(($G$15+$K$15)=0,0,G12/($G$15+$K$15))</f>
        <v>0.32285714285714284</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314</v>
      </c>
      <c r="H13" s="53">
        <f ca="1">IF(($G$15+$K$15)=0,0,G13/($G$15+$K$15))</f>
        <v>0.29904761904761906</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397</v>
      </c>
      <c r="H14" s="53">
        <f ca="1">IF(($G$15+$K$15)=0,0,G14/($G$15+$K$15))</f>
        <v>0.3780952380952381</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1050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https://www.crtm.es/</v>
      </c>
      <c r="D19" s="130" t="s">
        <v>27</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Red de metro</v>
      </c>
      <c r="C20" s="114" t="str" cm="1">
        <f t="array" ref="C20">IFERROR(INDEX('03.Muestra'!$F$8:$F$42,SMALL(IF("Página Web"='03.Muestra'!$D$8:$D$42,ROW('03.Muestra'!$F$8:$F$42)-MIN(ROW('03.Muestra'!$D$8:$D$42))+1,""),ROW()-18)),"")</f>
        <v>https://www.crtm.es/tu-transporte-publico/metro/</v>
      </c>
      <c r="D20" s="130" t="s">
        <v>27</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Líneas de metro</v>
      </c>
      <c r="C21" s="114" t="str" cm="1">
        <f t="array" ref="C21">IFERROR(INDEX('03.Muestra'!$F$8:$F$42,SMALL(IF("Página Web"='03.Muestra'!$D$8:$D$42,ROW('03.Muestra'!$F$8:$F$42)-MIN(ROW('03.Muestra'!$D$8:$D$42))+1,""),ROW()-18)),"")</f>
        <v>https://www.crtm.es/tu-transporte-publico/metro/lineas/4__1___</v>
      </c>
      <c r="D21" s="130" t="s">
        <v>27</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Estaciones Aeropuerto T1-T2-T3</v>
      </c>
      <c r="C22" s="114" t="str" cm="1">
        <f t="array" ref="C22">IFERROR(INDEX('03.Muestra'!$F$8:$F$42,SMALL(IF("Página Web"='03.Muestra'!$D$8:$D$42,ROW('03.Muestra'!$F$8:$F$42)-MIN(ROW('03.Muestra'!$D$8:$D$42))+1,""),ROW()-18)),"")</f>
        <v>https://www.crtm.es/tu-transporte-publico/metro/estaciones/4_159</v>
      </c>
      <c r="D22" s="130" t="s">
        <v>27</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Muévete por Madrid</v>
      </c>
      <c r="C23" s="114" t="str" cm="1">
        <f t="array" ref="C23">IFERROR(INDEX('03.Muestra'!$F$8:$F$42,SMALL(IF("Página Web"='03.Muestra'!$D$8:$D$42,ROW('03.Muestra'!$F$8:$F$42)-MIN(ROW('03.Muestra'!$D$8:$D$42))+1,""),ROW()-18)),"")</f>
        <v>https://www.crtm.es/muevete-por-madrid/</v>
      </c>
      <c r="D23" s="130" t="s">
        <v>27</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conexiones con aeropuerto y principales estaciones</v>
      </c>
      <c r="C24" s="114" t="str" cm="1">
        <f t="array" ref="C24">IFERROR(INDEX('03.Muestra'!$F$8:$F$42,SMALL(IF("Página Web"='03.Muestra'!$D$8:$D$42,ROW('03.Muestra'!$F$8:$F$42)-MIN(ROW('03.Muestra'!$D$8:$D$42))+1,""),ROW()-18)),"")</f>
        <v xml:space="preserve">https://www.crtm.es/muevete-por-madrid/conexiones-con-aeropuerto-y-principales-estaciones/ </v>
      </c>
      <c r="D24" s="130" t="s">
        <v>27</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desplazados Ucranianos</v>
      </c>
      <c r="C25" s="114" t="str" cm="1">
        <f t="array" ref="C25">IFERROR(INDEX('03.Muestra'!$F$8:$F$42,SMALL(IF("Página Web"='03.Muestra'!$D$8:$D$42,ROW('03.Muestra'!$F$8:$F$42)-MIN(ROW('03.Muestra'!$D$8:$D$42))+1,""),ROW()-18)),"")</f>
        <v>https://www.crtm.es/atencion-desplazados-ucranianos/#item3</v>
      </c>
      <c r="D25" s="130" t="s">
        <v>27</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Preguntas frecuentes (Tarjeta transporte público personal)</v>
      </c>
      <c r="C26" s="114" t="str" cm="1">
        <f t="array" ref="C26">IFERROR(INDEX('03.Muestra'!$F$8:$F$42,SMALL(IF("Página Web"='03.Muestra'!$D$8:$D$42,ROW('03.Muestra'!$F$8:$F$42)-MIN(ROW('03.Muestra'!$D$8:$D$42))+1,""),ROW()-18)),"")</f>
        <v xml:space="preserve"> https://www.crtm.es/billetes-y-tarifas/tarjeta-transporte-publico/preguntas-frecuentes/#item23</v>
      </c>
      <c r="D26" s="130" t="s">
        <v>27</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Billetes y abonos (Metro)</v>
      </c>
      <c r="C27" s="114" t="str" cm="1">
        <f t="array" ref="C27">IFERROR(INDEX('03.Muestra'!$F$8:$F$42,SMALL(IF("Página Web"='03.Muestra'!$D$8:$D$42,ROW('03.Muestra'!$F$8:$F$42)-MIN(ROW('03.Muestra'!$D$8:$D$42))+1,""),ROW()-18)),"")</f>
        <v>https://www.crtm.es/billetes-y-tarifas/billetes-y-abonos/metro/?idPestana=1&amp;lang=#item10</v>
      </c>
      <c r="D27" s="130" t="s">
        <v>27</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Billetes y tarifas (App)</v>
      </c>
      <c r="C28" s="114" t="str" cm="1">
        <f t="array" ref="C28">IFERROR(INDEX('03.Muestra'!$F$8:$F$42,SMALL(IF("Página Web"='03.Muestra'!$D$8:$D$42,ROW('03.Muestra'!$F$8:$F$42)-MIN(ROW('03.Muestra'!$D$8:$D$42))+1,""),ROW()-18)),"")</f>
        <v>https://www.crtm.es/billetes-y-tarifas/apps/</v>
      </c>
      <c r="D28" s="130" t="s">
        <v>27</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Atención al cliente</v>
      </c>
      <c r="C29" s="114" t="str" cm="1">
        <f t="array" ref="C29">IFERROR(INDEX('03.Muestra'!$F$8:$F$42,SMALL(IF("Página Web"='03.Muestra'!$D$8:$D$42,ROW('03.Muestra'!$F$8:$F$42)-MIN(ROW('03.Muestra'!$D$8:$D$42))+1,""),ROW()-18)),"")</f>
        <v>https://www.crtm.es/atencion-al-cliente/</v>
      </c>
      <c r="D29" s="130" t="s">
        <v>27</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Conócenos</v>
      </c>
      <c r="C30" s="114" t="str" cm="1">
        <f t="array" ref="C30">IFERROR(INDEX('03.Muestra'!$F$8:$F$42,SMALL(IF("Página Web"='03.Muestra'!$D$8:$D$42,ROW('03.Muestra'!$F$8:$F$42)-MIN(ROW('03.Muestra'!$D$8:$D$42))+1,""),ROW()-18)),"")</f>
        <v>https://www.crtm.es/conocenos/#CentrodeDocumentacion</v>
      </c>
      <c r="D30" s="130" t="s">
        <v>27</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Actualidad del servicio</v>
      </c>
      <c r="C31" s="114" t="str" cm="1">
        <f t="array" ref="C31">IFERROR(INDEX('03.Muestra'!$F$8:$F$42,SMALL(IF("Página Web"='03.Muestra'!$D$8:$D$42,ROW('03.Muestra'!$F$8:$F$42)-MIN(ROW('03.Muestra'!$D$8:$D$42))+1,""),ROW()-18)),"")</f>
        <v>https://www.crtm.es/comunicacion/actualidad-del-servicio/?idPestana=1&amp;lang=es</v>
      </c>
      <c r="D31" s="130" t="s">
        <v>27</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Galería de fotos</v>
      </c>
      <c r="C32" s="114" t="str" cm="1">
        <f t="array" ref="C32">IFERROR(INDEX('03.Muestra'!$F$8:$F$42,SMALL(IF("Página Web"='03.Muestra'!$D$8:$D$42,ROW('03.Muestra'!$F$8:$F$42)-MIN(ROW('03.Muestra'!$D$8:$D$42))+1,""),ROW()-18)),"")</f>
        <v>https://www.crtm.es/comunicacion/multimedia/galeria-de-fotos/</v>
      </c>
      <c r="D32" s="130" t="s">
        <v>27</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https://www.crtm.es/mapa-web</v>
      </c>
      <c r="D33" s="130" t="s">
        <v>27</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Protección de datos</v>
      </c>
      <c r="C34" s="114" t="str" cm="1">
        <f t="array" ref="C34">IFERROR(INDEX('03.Muestra'!$F$8:$F$42,SMALL(IF("Página Web"='03.Muestra'!$D$8:$D$42,ROW('03.Muestra'!$F$8:$F$42)-MIN(ROW('03.Muestra'!$D$8:$D$42))+1,""),ROW()-18)),"")</f>
        <v>https://www.crtm.es/proteccion-de-datos</v>
      </c>
      <c r="D34" s="130" t="s">
        <v>27</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Política de cookies</v>
      </c>
      <c r="C35" s="114" t="str" cm="1">
        <f t="array" ref="C35">IFERROR(INDEX('03.Muestra'!$F$8:$F$42,SMALL(IF("Página Web"='03.Muestra'!$D$8:$D$42,ROW('03.Muestra'!$F$8:$F$42)-MIN(ROW('03.Muestra'!$D$8:$D$42))+1,""),ROW()-18)),"")</f>
        <v>https://www.crtm.es/politica-de-cookies</v>
      </c>
      <c r="D35" s="130" t="s">
        <v>27</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Aviso Legal</v>
      </c>
      <c r="C36" s="114" t="str" cm="1">
        <f t="array" ref="C36">IFERROR(INDEX('03.Muestra'!$F$8:$F$42,SMALL(IF("Página Web"='03.Muestra'!$D$8:$D$42,ROW('03.Muestra'!$F$8:$F$42)-MIN(ROW('03.Muestra'!$D$8:$D$42))+1,""),ROW()-18)),"")</f>
        <v>https://www.crtm.es/aviso-legal</v>
      </c>
      <c r="D36" s="130" t="s">
        <v>27</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Normativa</v>
      </c>
      <c r="C37" s="114" t="str" cm="1">
        <f t="array" ref="C37">IFERROR(INDEX('03.Muestra'!$F$8:$F$42,SMALL(IF("Página Web"='03.Muestra'!$D$8:$D$42,ROW('03.Muestra'!$F$8:$F$42)-MIN(ROW('03.Muestra'!$D$8:$D$42))+1,""),ROW()-18)),"")</f>
        <v>https://www.crtm.es/normativa</v>
      </c>
      <c r="D37" s="130" t="s">
        <v>27</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Accesibilidad</v>
      </c>
      <c r="C38" s="114" t="str" cm="1">
        <f t="array" ref="C38">IFERROR(INDEX('03.Muestra'!$F$8:$F$42,SMALL(IF("Página Web"='03.Muestra'!$D$8:$D$42,ROW('03.Muestra'!$F$8:$F$42)-MIN(ROW('03.Muestra'!$D$8:$D$42))+1,""),ROW()-18)),"")</f>
        <v>https://www.crtm.es/accesibilidad</v>
      </c>
      <c r="D38" s="130" t="s">
        <v>27</v>
      </c>
      <c r="E38" s="107" t="str">
        <f t="shared" si="0"/>
        <v/>
      </c>
      <c r="F38" s="19"/>
      <c r="G38" s="19"/>
      <c r="H38" s="19"/>
      <c r="I38" s="19"/>
      <c r="J38" s="19"/>
      <c r="K38" s="19"/>
      <c r="L38" s="19"/>
      <c r="Q38" s="19"/>
      <c r="W38" s="19"/>
      <c r="X38" s="19"/>
      <c r="Y38" s="19"/>
    </row>
    <row r="39" spans="1:25" ht="12" customHeight="1">
      <c r="A39" s="219" cm="1">
        <f t="array" ref="A39">IFERROR(INDEX('03.Muestra'!$B$8:$B$42,SMALL(IF("Página Web"='03.Muestra'!$D$8:$D$42,ROW('03.Muestra'!$B$8:$B$42)-MIN(ROW('03.Muestra'!$D$8:$D$42))+1,""),ROW()-18)),"")</f>
        <v>21</v>
      </c>
      <c r="B39" s="114" t="str" cm="1">
        <f t="array" ref="B39">IFERROR(INDEX('03.Muestra'!$C$8:$C$42,SMALL(IF("Página Web"='03.Muestra'!$D$8:$D$42,ROW('03.Muestra'!$C$8:$C$42)-MIN(ROW('03.Muestra'!$D$8:$D$42))+1,""),ROW()-18)),"")</f>
        <v>Modo accesible</v>
      </c>
      <c r="C39" s="114" t="str" cm="1">
        <f t="array" ref="C39">IFERROR(INDEX('03.Muestra'!$F$8:$F$42,SMALL(IF("Página Web"='03.Muestra'!$D$8:$D$42,ROW('03.Muestra'!$F$8:$F$42)-MIN(ROW('03.Muestra'!$D$8:$D$42))+1,""),ROW()-18)),"")</f>
        <v>https://www.crtm.es/</v>
      </c>
      <c r="D39" s="130" t="s">
        <v>25</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ref="D40:D53" si="1">IF(AND(B40&lt;&gt;"",C40&lt;&gt;""),"N/T","")</f>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https://www.crtm.es/</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Red de metro</v>
      </c>
      <c r="C58" s="114" t="str" cm="1">
        <f t="array" ref="C58">IFERROR(INDEX('03.Muestra'!$F$8:$F$42,SMALL(IF("Página Web"='03.Muestra'!$D$8:$D$42,ROW('03.Muestra'!$F$8:$F$42)-MIN(ROW('03.Muestra'!$D$8:$D$42))+1,""),ROW()-56)),"")</f>
        <v>https://www.crtm.es/tu-transporte-publico/metro/</v>
      </c>
      <c r="D58" s="130" t="s">
        <v>34</v>
      </c>
      <c r="E58" s="107" t="str">
        <f t="shared" si="2"/>
        <v/>
      </c>
      <c r="F58" s="120">
        <f ca="1">COUNTIF($D57:INDIRECT("$D" &amp;  SUM(ROW()-1,'03.Muestra'!$D$45)-1),F57)</f>
        <v>0</v>
      </c>
      <c r="G58" s="120">
        <f ca="1">COUNTIF($D57:INDIRECT("$D" &amp;  SUM(ROW()-1,'03.Muestra'!$D$45)-1),G57)</f>
        <v>0</v>
      </c>
      <c r="H58" s="120">
        <f ca="1">COUNTIF($D57:INDIRECT("$D" &amp;  SUM(ROW()-1,'03.Muestra'!$D$45)-1),H57)</f>
        <v>21</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Líneas de metro</v>
      </c>
      <c r="C59" s="114" t="str" cm="1">
        <f t="array" ref="C59">IFERROR(INDEX('03.Muestra'!$F$8:$F$42,SMALL(IF("Página Web"='03.Muestra'!$D$8:$D$42,ROW('03.Muestra'!$F$8:$F$42)-MIN(ROW('03.Muestra'!$D$8:$D$42))+1,""),ROW()-56)),"")</f>
        <v>https://www.crtm.es/tu-transporte-publico/metro/lineas/4__1___</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Estaciones Aeropuerto T1-T2-T3</v>
      </c>
      <c r="C60" s="114" t="str" cm="1">
        <f t="array" ref="C60">IFERROR(INDEX('03.Muestra'!$F$8:$F$42,SMALL(IF("Página Web"='03.Muestra'!$D$8:$D$42,ROW('03.Muestra'!$F$8:$F$42)-MIN(ROW('03.Muestra'!$D$8:$D$42))+1,""),ROW()-56)),"")</f>
        <v>https://www.crtm.es/tu-transporte-publico/metro/estaciones/4_159</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Muévete por Madrid</v>
      </c>
      <c r="C61" s="114" t="str" cm="1">
        <f t="array" ref="C61">IFERROR(INDEX('03.Muestra'!$F$8:$F$42,SMALL(IF("Página Web"='03.Muestra'!$D$8:$D$42,ROW('03.Muestra'!$F$8:$F$42)-MIN(ROW('03.Muestra'!$D$8:$D$42))+1,""),ROW()-56)),"")</f>
        <v>https://www.crtm.es/muevete-por-madrid/</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conexiones con aeropuerto y principales estaciones</v>
      </c>
      <c r="C62" s="114" t="str" cm="1">
        <f t="array" ref="C62">IFERROR(INDEX('03.Muestra'!$F$8:$F$42,SMALL(IF("Página Web"='03.Muestra'!$D$8:$D$42,ROW('03.Muestra'!$F$8:$F$42)-MIN(ROW('03.Muestra'!$D$8:$D$42))+1,""),ROW()-56)),"")</f>
        <v xml:space="preserve">https://www.crtm.es/muevete-por-madrid/conexiones-con-aeropuerto-y-principales-estaciones/ </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desplazados Ucranianos</v>
      </c>
      <c r="C63" s="114" t="str" cm="1">
        <f t="array" ref="C63">IFERROR(INDEX('03.Muestra'!$F$8:$F$42,SMALL(IF("Página Web"='03.Muestra'!$D$8:$D$42,ROW('03.Muestra'!$F$8:$F$42)-MIN(ROW('03.Muestra'!$D$8:$D$42))+1,""),ROW()-56)),"")</f>
        <v>https://www.crtm.es/atencion-desplazados-ucranianos/#item3</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Preguntas frecuentes (Tarjeta transporte público personal)</v>
      </c>
      <c r="C64" s="114" t="str" cm="1">
        <f t="array" ref="C64">IFERROR(INDEX('03.Muestra'!$F$8:$F$42,SMALL(IF("Página Web"='03.Muestra'!$D$8:$D$42,ROW('03.Muestra'!$F$8:$F$42)-MIN(ROW('03.Muestra'!$D$8:$D$42))+1,""),ROW()-56)),"")</f>
        <v xml:space="preserve"> https://www.crtm.es/billetes-y-tarifas/tarjeta-transporte-publico/preguntas-frecuentes/#item23</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Billetes y abonos (Metro)</v>
      </c>
      <c r="C65" s="114" t="str" cm="1">
        <f t="array" ref="C65">IFERROR(INDEX('03.Muestra'!$F$8:$F$42,SMALL(IF("Página Web"='03.Muestra'!$D$8:$D$42,ROW('03.Muestra'!$F$8:$F$42)-MIN(ROW('03.Muestra'!$D$8:$D$42))+1,""),ROW()-56)),"")</f>
        <v>https://www.crtm.es/billetes-y-tarifas/billetes-y-abonos/metro/?idPestana=1&amp;lang=#item10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Billetes y tarifas (App)</v>
      </c>
      <c r="C66" s="114" t="str" cm="1">
        <f t="array" ref="C66">IFERROR(INDEX('03.Muestra'!$F$8:$F$42,SMALL(IF("Página Web"='03.Muestra'!$D$8:$D$42,ROW('03.Muestra'!$F$8:$F$42)-MIN(ROW('03.Muestra'!$D$8:$D$42))+1,""),ROW()-56)),"")</f>
        <v>https://www.crtm.es/billetes-y-tarifas/apps/</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Atención al cliente</v>
      </c>
      <c r="C67" s="114" t="str" cm="1">
        <f t="array" ref="C67">IFERROR(INDEX('03.Muestra'!$F$8:$F$42,SMALL(IF("Página Web"='03.Muestra'!$D$8:$D$42,ROW('03.Muestra'!$F$8:$F$42)-MIN(ROW('03.Muestra'!$D$8:$D$42))+1,""),ROW()-56)),"")</f>
        <v>https://www.crtm.es/atencion-al-cliente/</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Conócenos</v>
      </c>
      <c r="C68" s="114" t="str" cm="1">
        <f t="array" ref="C68">IFERROR(INDEX('03.Muestra'!$F$8:$F$42,SMALL(IF("Página Web"='03.Muestra'!$D$8:$D$42,ROW('03.Muestra'!$F$8:$F$42)-MIN(ROW('03.Muestra'!$D$8:$D$42))+1,""),ROW()-56)),"")</f>
        <v>https://www.crtm.es/conocenos/#CentrodeDocumentacion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Actualidad del servicio</v>
      </c>
      <c r="C69" s="114" t="str" cm="1">
        <f t="array" ref="C69">IFERROR(INDEX('03.Muestra'!$F$8:$F$42,SMALL(IF("Página Web"='03.Muestra'!$D$8:$D$42,ROW('03.Muestra'!$F$8:$F$42)-MIN(ROW('03.Muestra'!$D$8:$D$42))+1,""),ROW()-56)),"")</f>
        <v>https://www.crtm.es/comunicacion/actualidad-del-servicio/?idPestana=1&amp;lang=es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Galería de fotos</v>
      </c>
      <c r="C70" s="114" t="str" cm="1">
        <f t="array" ref="C70">IFERROR(INDEX('03.Muestra'!$F$8:$F$42,SMALL(IF("Página Web"='03.Muestra'!$D$8:$D$42,ROW('03.Muestra'!$F$8:$F$42)-MIN(ROW('03.Muestra'!$D$8:$D$42))+1,""),ROW()-56)),"")</f>
        <v>https://www.crtm.es/comunicacion/multimedia/galeria-de-fotos/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https://www.crtm.es/mapa-web</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Protección de datos</v>
      </c>
      <c r="C72" s="114" t="str" cm="1">
        <f t="array" ref="C72">IFERROR(INDEX('03.Muestra'!$F$8:$F$42,SMALL(IF("Página Web"='03.Muestra'!$D$8:$D$42,ROW('03.Muestra'!$F$8:$F$42)-MIN(ROW('03.Muestra'!$D$8:$D$42))+1,""),ROW()-56)),"")</f>
        <v>https://www.crtm.es/proteccion-de-datos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Política de cookies</v>
      </c>
      <c r="C73" s="114" t="str" cm="1">
        <f t="array" ref="C73">IFERROR(INDEX('03.Muestra'!$F$8:$F$42,SMALL(IF("Página Web"='03.Muestra'!$D$8:$D$42,ROW('03.Muestra'!$F$8:$F$42)-MIN(ROW('03.Muestra'!$D$8:$D$42))+1,""),ROW()-56)),"")</f>
        <v>https://www.crtm.es/politica-de-cookies</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Aviso Legal</v>
      </c>
      <c r="C74" s="114" t="str" cm="1">
        <f t="array" ref="C74">IFERROR(INDEX('03.Muestra'!$F$8:$F$42,SMALL(IF("Página Web"='03.Muestra'!$D$8:$D$42,ROW('03.Muestra'!$F$8:$F$42)-MIN(ROW('03.Muestra'!$D$8:$D$42))+1,""),ROW()-56)),"")</f>
        <v>https://www.crtm.es/aviso-legal</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Normativa</v>
      </c>
      <c r="C75" s="114" t="str" cm="1">
        <f t="array" ref="C75">IFERROR(INDEX('03.Muestra'!$F$8:$F$42,SMALL(IF("Página Web"='03.Muestra'!$D$8:$D$42,ROW('03.Muestra'!$F$8:$F$42)-MIN(ROW('03.Muestra'!$D$8:$D$42))+1,""),ROW()-56)),"")</f>
        <v>https://www.crtm.es/normativa</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Accesibilidad</v>
      </c>
      <c r="C76" s="114" t="str" cm="1">
        <f t="array" ref="C76">IFERROR(INDEX('03.Muestra'!$F$8:$F$42,SMALL(IF("Página Web"='03.Muestra'!$D$8:$D$42,ROW('03.Muestra'!$F$8:$F$42)-MIN(ROW('03.Muestra'!$D$8:$D$42))+1,""),ROW()-56)),"")</f>
        <v>https://www.crtm.es/accesibilidad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cm="1">
        <f t="array" ref="A77">IFERROR(INDEX('03.Muestra'!$B$8:$B$42,SMALL(IF("Página Web"='03.Muestra'!$D$8:$D$42,ROW('03.Muestra'!$B$8:$B$42)-MIN(ROW('03.Muestra'!$D$8:$D$42))+1,""),ROW()-56)),"")</f>
        <v>21</v>
      </c>
      <c r="B77" s="114" t="str" cm="1">
        <f t="array" ref="B77">IFERROR(INDEX('03.Muestra'!$C$8:$C$42,SMALL(IF("Página Web"='03.Muestra'!$D$8:$D$42,ROW('03.Muestra'!$C$8:$C$42)-MIN(ROW('03.Muestra'!$D$8:$D$42))+1,""),ROW()-56)),"")</f>
        <v>Modo accesible</v>
      </c>
      <c r="C77" s="114" t="str" cm="1">
        <f t="array" ref="C77">IFERROR(INDEX('03.Muestra'!$F$8:$F$42,SMALL(IF("Página Web"='03.Muestra'!$D$8:$D$42,ROW('03.Muestra'!$F$8:$F$42)-MIN(ROW('03.Muestra'!$D$8:$D$42))+1,""),ROW()-56)),"")</f>
        <v>https://www.crtm.es/</v>
      </c>
      <c r="D77" s="130" t="s">
        <v>34</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ref="D78:D91" si="3">IF(AND(B78&lt;&gt;"",C78&lt;&gt;""),"N/T","")</f>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https://www.crtm.es/</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Red de metro</v>
      </c>
      <c r="C96" s="114" t="str" cm="1">
        <f t="array" ref="C96">IFERROR(INDEX('03.Muestra'!$F$8:$F$42,SMALL(IF("Página Web"='03.Muestra'!$D$8:$D$42,ROW('03.Muestra'!$F$8:$F$42)-MIN(ROW('03.Muestra'!$D$8:$D$42))+1,""),ROW()-94)),"")</f>
        <v>https://www.crtm.es/tu-transporte-publico/metro/</v>
      </c>
      <c r="D96" s="130" t="s">
        <v>34</v>
      </c>
      <c r="E96" s="107" t="str">
        <f t="shared" si="4"/>
        <v/>
      </c>
      <c r="F96" s="120">
        <f ca="1">COUNTIF($D95:INDIRECT("$D" &amp;  SUM(ROW()-1,'03.Muestra'!$D$45)-1),F95)</f>
        <v>0</v>
      </c>
      <c r="G96" s="120">
        <f ca="1">COUNTIF($D95:INDIRECT("$D" &amp;  SUM(ROW()-1,'03.Muestra'!$D$45)-1),G95)</f>
        <v>0</v>
      </c>
      <c r="H96" s="120">
        <f ca="1">COUNTIF($D95:INDIRECT("$D" &amp;  SUM(ROW()-1,'03.Muestra'!$D$45)-1),H95)</f>
        <v>21</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Líneas de metro</v>
      </c>
      <c r="C97" s="114" t="str" cm="1">
        <f t="array" ref="C97">IFERROR(INDEX('03.Muestra'!$F$8:$F$42,SMALL(IF("Página Web"='03.Muestra'!$D$8:$D$42,ROW('03.Muestra'!$F$8:$F$42)-MIN(ROW('03.Muestra'!$D$8:$D$42))+1,""),ROW()-94)),"")</f>
        <v>https://www.crtm.es/tu-transporte-publico/metro/lineas/4__1___</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Estaciones Aeropuerto T1-T2-T3</v>
      </c>
      <c r="C98" s="114" t="str" cm="1">
        <f t="array" ref="C98">IFERROR(INDEX('03.Muestra'!$F$8:$F$42,SMALL(IF("Página Web"='03.Muestra'!$D$8:$D$42,ROW('03.Muestra'!$F$8:$F$42)-MIN(ROW('03.Muestra'!$D$8:$D$42))+1,""),ROW()-94)),"")</f>
        <v>https://www.crtm.es/tu-transporte-publico/metro/estaciones/4_159</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Muévete por Madrid</v>
      </c>
      <c r="C99" s="114" t="str" cm="1">
        <f t="array" ref="C99">IFERROR(INDEX('03.Muestra'!$F$8:$F$42,SMALL(IF("Página Web"='03.Muestra'!$D$8:$D$42,ROW('03.Muestra'!$F$8:$F$42)-MIN(ROW('03.Muestra'!$D$8:$D$42))+1,""),ROW()-94)),"")</f>
        <v>https://www.crtm.es/muevete-por-madrid/</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conexiones con aeropuerto y principales estaciones</v>
      </c>
      <c r="C100" s="114" t="str" cm="1">
        <f t="array" ref="C100">IFERROR(INDEX('03.Muestra'!$F$8:$F$42,SMALL(IF("Página Web"='03.Muestra'!$D$8:$D$42,ROW('03.Muestra'!$F$8:$F$42)-MIN(ROW('03.Muestra'!$D$8:$D$42))+1,""),ROW()-94)),"")</f>
        <v xml:space="preserve">https://www.crtm.es/muevete-por-madrid/conexiones-con-aeropuerto-y-principales-estaciones/ </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desplazados Ucranianos</v>
      </c>
      <c r="C101" s="114" t="str" cm="1">
        <f t="array" ref="C101">IFERROR(INDEX('03.Muestra'!$F$8:$F$42,SMALL(IF("Página Web"='03.Muestra'!$D$8:$D$42,ROW('03.Muestra'!$F$8:$F$42)-MIN(ROW('03.Muestra'!$D$8:$D$42))+1,""),ROW()-94)),"")</f>
        <v>https://www.crtm.es/atencion-desplazados-ucranianos/#item3</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Preguntas frecuentes (Tarjeta transporte público personal)</v>
      </c>
      <c r="C102" s="114" t="str" cm="1">
        <f t="array" ref="C102">IFERROR(INDEX('03.Muestra'!$F$8:$F$42,SMALL(IF("Página Web"='03.Muestra'!$D$8:$D$42,ROW('03.Muestra'!$F$8:$F$42)-MIN(ROW('03.Muestra'!$D$8:$D$42))+1,""),ROW()-94)),"")</f>
        <v xml:space="preserve"> https://www.crtm.es/billetes-y-tarifas/tarjeta-transporte-publico/preguntas-frecuentes/#item23</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Billetes y abonos (Metro)</v>
      </c>
      <c r="C103" s="114" t="str" cm="1">
        <f t="array" ref="C103">IFERROR(INDEX('03.Muestra'!$F$8:$F$42,SMALL(IF("Página Web"='03.Muestra'!$D$8:$D$42,ROW('03.Muestra'!$F$8:$F$42)-MIN(ROW('03.Muestra'!$D$8:$D$42))+1,""),ROW()-94)),"")</f>
        <v>https://www.crtm.es/billetes-y-tarifas/billetes-y-abonos/metro/?idPestana=1&amp;lang=#item10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Billetes y tarifas (App)</v>
      </c>
      <c r="C104" s="114" t="str" cm="1">
        <f t="array" ref="C104">IFERROR(INDEX('03.Muestra'!$F$8:$F$42,SMALL(IF("Página Web"='03.Muestra'!$D$8:$D$42,ROW('03.Muestra'!$F$8:$F$42)-MIN(ROW('03.Muestra'!$D$8:$D$42))+1,""),ROW()-94)),"")</f>
        <v>https://www.crtm.es/billetes-y-tarifas/apps/</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Atención al cliente</v>
      </c>
      <c r="C105" s="114" t="str" cm="1">
        <f t="array" ref="C105">IFERROR(INDEX('03.Muestra'!$F$8:$F$42,SMALL(IF("Página Web"='03.Muestra'!$D$8:$D$42,ROW('03.Muestra'!$F$8:$F$42)-MIN(ROW('03.Muestra'!$D$8:$D$42))+1,""),ROW()-94)),"")</f>
        <v>https://www.crtm.es/atencion-al-cliente/</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Conócenos</v>
      </c>
      <c r="C106" s="114" t="str" cm="1">
        <f t="array" ref="C106">IFERROR(INDEX('03.Muestra'!$F$8:$F$42,SMALL(IF("Página Web"='03.Muestra'!$D$8:$D$42,ROW('03.Muestra'!$F$8:$F$42)-MIN(ROW('03.Muestra'!$D$8:$D$42))+1,""),ROW()-94)),"")</f>
        <v>https://www.crtm.es/conocenos/#CentrodeDocumentacion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Actualidad del servicio</v>
      </c>
      <c r="C107" s="114" t="str" cm="1">
        <f t="array" ref="C107">IFERROR(INDEX('03.Muestra'!$F$8:$F$42,SMALL(IF("Página Web"='03.Muestra'!$D$8:$D$42,ROW('03.Muestra'!$F$8:$F$42)-MIN(ROW('03.Muestra'!$D$8:$D$42))+1,""),ROW()-94)),"")</f>
        <v>https://www.crtm.es/comunicacion/actualidad-del-servicio/?idPestana=1&amp;lang=es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Galería de fotos</v>
      </c>
      <c r="C108" s="114" t="str" cm="1">
        <f t="array" ref="C108">IFERROR(INDEX('03.Muestra'!$F$8:$F$42,SMALL(IF("Página Web"='03.Muestra'!$D$8:$D$42,ROW('03.Muestra'!$F$8:$F$42)-MIN(ROW('03.Muestra'!$D$8:$D$42))+1,""),ROW()-94)),"")</f>
        <v>https://www.crtm.es/comunicacion/multimedia/galeria-de-fotos/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https://www.crtm.es/mapa-web</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Protección de datos</v>
      </c>
      <c r="C110" s="114" t="str" cm="1">
        <f t="array" ref="C110">IFERROR(INDEX('03.Muestra'!$F$8:$F$42,SMALL(IF("Página Web"='03.Muestra'!$D$8:$D$42,ROW('03.Muestra'!$F$8:$F$42)-MIN(ROW('03.Muestra'!$D$8:$D$42))+1,""),ROW()-94)),"")</f>
        <v>https://www.crtm.es/proteccion-de-datos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Política de cookies</v>
      </c>
      <c r="C111" s="114" t="str" cm="1">
        <f t="array" ref="C111">IFERROR(INDEX('03.Muestra'!$F$8:$F$42,SMALL(IF("Página Web"='03.Muestra'!$D$8:$D$42,ROW('03.Muestra'!$F$8:$F$42)-MIN(ROW('03.Muestra'!$D$8:$D$42))+1,""),ROW()-94)),"")</f>
        <v>https://www.crtm.es/politica-de-cookies</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Aviso Legal</v>
      </c>
      <c r="C112" s="114" t="str" cm="1">
        <f t="array" ref="C112">IFERROR(INDEX('03.Muestra'!$F$8:$F$42,SMALL(IF("Página Web"='03.Muestra'!$D$8:$D$42,ROW('03.Muestra'!$F$8:$F$42)-MIN(ROW('03.Muestra'!$D$8:$D$42))+1,""),ROW()-94)),"")</f>
        <v>https://www.crtm.es/aviso-legal</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Normativa</v>
      </c>
      <c r="C113" s="114" t="str" cm="1">
        <f t="array" ref="C113">IFERROR(INDEX('03.Muestra'!$F$8:$F$42,SMALL(IF("Página Web"='03.Muestra'!$D$8:$D$42,ROW('03.Muestra'!$F$8:$F$42)-MIN(ROW('03.Muestra'!$D$8:$D$42))+1,""),ROW()-94)),"")</f>
        <v>https://www.crtm.es/normativa</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Accesibilidad</v>
      </c>
      <c r="C114" s="114" t="str" cm="1">
        <f t="array" ref="C114">IFERROR(INDEX('03.Muestra'!$F$8:$F$42,SMALL(IF("Página Web"='03.Muestra'!$D$8:$D$42,ROW('03.Muestra'!$F$8:$F$42)-MIN(ROW('03.Muestra'!$D$8:$D$42))+1,""),ROW()-94)),"")</f>
        <v>https://www.crtm.es/accesibilidad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cm="1">
        <f t="array" ref="A115">IFERROR(INDEX('03.Muestra'!$B$8:$B$42,SMALL(IF("Página Web"='03.Muestra'!$D$8:$D$42,ROW('03.Muestra'!$B$8:$B$42)-MIN(ROW('03.Muestra'!$D$8:$D$42))+1,""),ROW()-94)),"")</f>
        <v>21</v>
      </c>
      <c r="B115" s="114" t="str" cm="1">
        <f t="array" ref="B115">IFERROR(INDEX('03.Muestra'!$C$8:$C$42,SMALL(IF("Página Web"='03.Muestra'!$D$8:$D$42,ROW('03.Muestra'!$C$8:$C$42)-MIN(ROW('03.Muestra'!$D$8:$D$42))+1,""),ROW()-94)),"")</f>
        <v>Modo accesible</v>
      </c>
      <c r="C115" s="114" t="str" cm="1">
        <f t="array" ref="C115">IFERROR(INDEX('03.Muestra'!$F$8:$F$42,SMALL(IF("Página Web"='03.Muestra'!$D$8:$D$42,ROW('03.Muestra'!$F$8:$F$42)-MIN(ROW('03.Muestra'!$D$8:$D$42))+1,""),ROW()-94)),"")</f>
        <v>https://www.crtm.es/</v>
      </c>
      <c r="D115" s="130" t="s">
        <v>34</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ref="D116:D129" si="5">IF(AND(B116&lt;&gt;"",C116&lt;&gt;""),"N/T","")</f>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https://www.crtm.es/</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Red de metro</v>
      </c>
      <c r="C134" s="114" t="str" cm="1">
        <f t="array" ref="C134">IFERROR(INDEX('03.Muestra'!$F$8:$F$42,SMALL(IF("Página Web"='03.Muestra'!$D$8:$D$42,ROW('03.Muestra'!$F$8:$F$42)-MIN(ROW('03.Muestra'!$D$8:$D$42))+1,""),ROW()-132)),"")</f>
        <v>https://www.crtm.es/tu-transporte-publico/metro/</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21</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Líneas de metro</v>
      </c>
      <c r="C135" s="114" t="str" cm="1">
        <f t="array" ref="C135">IFERROR(INDEX('03.Muestra'!$F$8:$F$42,SMALL(IF("Página Web"='03.Muestra'!$D$8:$D$42,ROW('03.Muestra'!$F$8:$F$42)-MIN(ROW('03.Muestra'!$D$8:$D$42))+1,""),ROW()-132)),"")</f>
        <v>https://www.crtm.es/tu-transporte-publico/metro/lineas/4__1___</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Estaciones Aeropuerto T1-T2-T3</v>
      </c>
      <c r="C136" s="114" t="str" cm="1">
        <f t="array" ref="C136">IFERROR(INDEX('03.Muestra'!$F$8:$F$42,SMALL(IF("Página Web"='03.Muestra'!$D$8:$D$42,ROW('03.Muestra'!$F$8:$F$42)-MIN(ROW('03.Muestra'!$D$8:$D$42))+1,""),ROW()-132)),"")</f>
        <v>https://www.crtm.es/tu-transporte-publico/metro/estaciones/4_159</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Muévete por Madrid</v>
      </c>
      <c r="C137" s="114" t="str" cm="1">
        <f t="array" ref="C137">IFERROR(INDEX('03.Muestra'!$F$8:$F$42,SMALL(IF("Página Web"='03.Muestra'!$D$8:$D$42,ROW('03.Muestra'!$F$8:$F$42)-MIN(ROW('03.Muestra'!$D$8:$D$42))+1,""),ROW()-132)),"")</f>
        <v>https://www.crtm.es/muevete-por-madrid/</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conexiones con aeropuerto y principales estaciones</v>
      </c>
      <c r="C138" s="114" t="str" cm="1">
        <f t="array" ref="C138">IFERROR(INDEX('03.Muestra'!$F$8:$F$42,SMALL(IF("Página Web"='03.Muestra'!$D$8:$D$42,ROW('03.Muestra'!$F$8:$F$42)-MIN(ROW('03.Muestra'!$D$8:$D$42))+1,""),ROW()-132)),"")</f>
        <v xml:space="preserve">https://www.crtm.es/muevete-por-madrid/conexiones-con-aeropuerto-y-principales-estaciones/ </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desplazados Ucranianos</v>
      </c>
      <c r="C139" s="114" t="str" cm="1">
        <f t="array" ref="C139">IFERROR(INDEX('03.Muestra'!$F$8:$F$42,SMALL(IF("Página Web"='03.Muestra'!$D$8:$D$42,ROW('03.Muestra'!$F$8:$F$42)-MIN(ROW('03.Muestra'!$D$8:$D$42))+1,""),ROW()-132)),"")</f>
        <v>https://www.crtm.es/atencion-desplazados-ucranianos/#item3</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Preguntas frecuentes (Tarjeta transporte público personal)</v>
      </c>
      <c r="C140" s="114" t="str" cm="1">
        <f t="array" ref="C140">IFERROR(INDEX('03.Muestra'!$F$8:$F$42,SMALL(IF("Página Web"='03.Muestra'!$D$8:$D$42,ROW('03.Muestra'!$F$8:$F$42)-MIN(ROW('03.Muestra'!$D$8:$D$42))+1,""),ROW()-132)),"")</f>
        <v xml:space="preserve"> https://www.crtm.es/billetes-y-tarifas/tarjeta-transporte-publico/preguntas-frecuentes/#item23</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Billetes y abonos (Metro)</v>
      </c>
      <c r="C141" s="114" t="str" cm="1">
        <f t="array" ref="C141">IFERROR(INDEX('03.Muestra'!$F$8:$F$42,SMALL(IF("Página Web"='03.Muestra'!$D$8:$D$42,ROW('03.Muestra'!$F$8:$F$42)-MIN(ROW('03.Muestra'!$D$8:$D$42))+1,""),ROW()-132)),"")</f>
        <v>https://www.crtm.es/billetes-y-tarifas/billetes-y-abonos/metro/?idPestana=1&amp;lang=#item10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Billetes y tarifas (App)</v>
      </c>
      <c r="C142" s="114" t="str" cm="1">
        <f t="array" ref="C142">IFERROR(INDEX('03.Muestra'!$F$8:$F$42,SMALL(IF("Página Web"='03.Muestra'!$D$8:$D$42,ROW('03.Muestra'!$F$8:$F$42)-MIN(ROW('03.Muestra'!$D$8:$D$42))+1,""),ROW()-132)),"")</f>
        <v>https://www.crtm.es/billetes-y-tarifas/apps/</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Atención al cliente</v>
      </c>
      <c r="C143" s="114" t="str" cm="1">
        <f t="array" ref="C143">IFERROR(INDEX('03.Muestra'!$F$8:$F$42,SMALL(IF("Página Web"='03.Muestra'!$D$8:$D$42,ROW('03.Muestra'!$F$8:$F$42)-MIN(ROW('03.Muestra'!$D$8:$D$42))+1,""),ROW()-132)),"")</f>
        <v>https://www.crtm.es/atencion-al-cliente/</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Conócenos</v>
      </c>
      <c r="C144" s="114" t="str" cm="1">
        <f t="array" ref="C144">IFERROR(INDEX('03.Muestra'!$F$8:$F$42,SMALL(IF("Página Web"='03.Muestra'!$D$8:$D$42,ROW('03.Muestra'!$F$8:$F$42)-MIN(ROW('03.Muestra'!$D$8:$D$42))+1,""),ROW()-132)),"")</f>
        <v>https://www.crtm.es/conocenos/#CentrodeDocumentacion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Actualidad del servicio</v>
      </c>
      <c r="C145" s="114" t="str" cm="1">
        <f t="array" ref="C145">IFERROR(INDEX('03.Muestra'!$F$8:$F$42,SMALL(IF("Página Web"='03.Muestra'!$D$8:$D$42,ROW('03.Muestra'!$F$8:$F$42)-MIN(ROW('03.Muestra'!$D$8:$D$42))+1,""),ROW()-132)),"")</f>
        <v>https://www.crtm.es/comunicacion/actualidad-del-servicio/?idPestana=1&amp;lang=es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Galería de fotos</v>
      </c>
      <c r="C146" s="114" t="str" cm="1">
        <f t="array" ref="C146">IFERROR(INDEX('03.Muestra'!$F$8:$F$42,SMALL(IF("Página Web"='03.Muestra'!$D$8:$D$42,ROW('03.Muestra'!$F$8:$F$42)-MIN(ROW('03.Muestra'!$D$8:$D$42))+1,""),ROW()-132)),"")</f>
        <v>https://www.crtm.es/comunicacion/multimedia/galeria-de-fotos/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https://www.crtm.es/mapa-web</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Protección de datos</v>
      </c>
      <c r="C148" s="114" t="str" cm="1">
        <f t="array" ref="C148">IFERROR(INDEX('03.Muestra'!$F$8:$F$42,SMALL(IF("Página Web"='03.Muestra'!$D$8:$D$42,ROW('03.Muestra'!$F$8:$F$42)-MIN(ROW('03.Muestra'!$D$8:$D$42))+1,""),ROW()-132)),"")</f>
        <v>https://www.crtm.es/proteccion-de-datos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Política de cookies</v>
      </c>
      <c r="C149" s="114" t="str" cm="1">
        <f t="array" ref="C149">IFERROR(INDEX('03.Muestra'!$F$8:$F$42,SMALL(IF("Página Web"='03.Muestra'!$D$8:$D$42,ROW('03.Muestra'!$F$8:$F$42)-MIN(ROW('03.Muestra'!$D$8:$D$42))+1,""),ROW()-132)),"")</f>
        <v>https://www.crtm.es/politica-de-cookies</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Aviso Legal</v>
      </c>
      <c r="C150" s="114" t="str" cm="1">
        <f t="array" ref="C150">IFERROR(INDEX('03.Muestra'!$F$8:$F$42,SMALL(IF("Página Web"='03.Muestra'!$D$8:$D$42,ROW('03.Muestra'!$F$8:$F$42)-MIN(ROW('03.Muestra'!$D$8:$D$42))+1,""),ROW()-132)),"")</f>
        <v>https://www.crtm.es/aviso-legal</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Normativa</v>
      </c>
      <c r="C151" s="114" t="str" cm="1">
        <f t="array" ref="C151">IFERROR(INDEX('03.Muestra'!$F$8:$F$42,SMALL(IF("Página Web"='03.Muestra'!$D$8:$D$42,ROW('03.Muestra'!$F$8:$F$42)-MIN(ROW('03.Muestra'!$D$8:$D$42))+1,""),ROW()-132)),"")</f>
        <v>https://www.crtm.es/normativa</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Accesibilidad</v>
      </c>
      <c r="C152" s="114" t="str" cm="1">
        <f t="array" ref="C152">IFERROR(INDEX('03.Muestra'!$F$8:$F$42,SMALL(IF("Página Web"='03.Muestra'!$D$8:$D$42,ROW('03.Muestra'!$F$8:$F$42)-MIN(ROW('03.Muestra'!$D$8:$D$42))+1,""),ROW()-132)),"")</f>
        <v>https://www.crtm.es/accesibilidad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cm="1">
        <f t="array" ref="A153">IFERROR(INDEX('03.Muestra'!$B$8:$B$42,SMALL(IF("Página Web"='03.Muestra'!$D$8:$D$42,ROW('03.Muestra'!$B$8:$B$42)-MIN(ROW('03.Muestra'!$D$8:$D$42))+1,""),ROW()-132)),"")</f>
        <v>21</v>
      </c>
      <c r="B153" s="114" t="str" cm="1">
        <f t="array" ref="B153">IFERROR(INDEX('03.Muestra'!$C$8:$C$42,SMALL(IF("Página Web"='03.Muestra'!$D$8:$D$42,ROW('03.Muestra'!$C$8:$C$42)-MIN(ROW('03.Muestra'!$D$8:$D$42))+1,""),ROW()-132)),"")</f>
        <v>Modo accesible</v>
      </c>
      <c r="C153" s="114" t="str" cm="1">
        <f t="array" ref="C153">IFERROR(INDEX('03.Muestra'!$F$8:$F$42,SMALL(IF("Página Web"='03.Muestra'!$D$8:$D$42,ROW('03.Muestra'!$F$8:$F$42)-MIN(ROW('03.Muestra'!$D$8:$D$42))+1,""),ROW()-132)),"")</f>
        <v>https://www.crtm.es/</v>
      </c>
      <c r="D153" s="130" t="s">
        <v>34</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ref="D154:D167" si="7">IF(AND(B154&lt;&gt;"",C154&lt;&gt;""),"N/T","")</f>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https://www.crtm.es/</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Red de metro</v>
      </c>
      <c r="C172" s="114" t="str" cm="1">
        <f t="array" ref="C172">IFERROR(INDEX('03.Muestra'!$F$8:$F$42,SMALL(IF("Página Web"='03.Muestra'!$D$8:$D$42,ROW('03.Muestra'!$F$8:$F$42)-MIN(ROW('03.Muestra'!$D$8:$D$42))+1,""),ROW()-170)),"")</f>
        <v>https://www.crtm.es/tu-transporte-publico/metro/</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21</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Líneas de metro</v>
      </c>
      <c r="C173" s="114" t="str" cm="1">
        <f t="array" ref="C173">IFERROR(INDEX('03.Muestra'!$F$8:$F$42,SMALL(IF("Página Web"='03.Muestra'!$D$8:$D$42,ROW('03.Muestra'!$F$8:$F$42)-MIN(ROW('03.Muestra'!$D$8:$D$42))+1,""),ROW()-170)),"")</f>
        <v>https://www.crtm.es/tu-transporte-publico/metro/lineas/4__1___</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Estaciones Aeropuerto T1-T2-T3</v>
      </c>
      <c r="C174" s="114" t="str" cm="1">
        <f t="array" ref="C174">IFERROR(INDEX('03.Muestra'!$F$8:$F$42,SMALL(IF("Página Web"='03.Muestra'!$D$8:$D$42,ROW('03.Muestra'!$F$8:$F$42)-MIN(ROW('03.Muestra'!$D$8:$D$42))+1,""),ROW()-170)),"")</f>
        <v>https://www.crtm.es/tu-transporte-publico/metro/estaciones/4_159</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Muévete por Madrid</v>
      </c>
      <c r="C175" s="114" t="str" cm="1">
        <f t="array" ref="C175">IFERROR(INDEX('03.Muestra'!$F$8:$F$42,SMALL(IF("Página Web"='03.Muestra'!$D$8:$D$42,ROW('03.Muestra'!$F$8:$F$42)-MIN(ROW('03.Muestra'!$D$8:$D$42))+1,""),ROW()-170)),"")</f>
        <v>https://www.crtm.es/muevete-por-madrid/</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conexiones con aeropuerto y principales estaciones</v>
      </c>
      <c r="C176" s="114" t="str" cm="1">
        <f t="array" ref="C176">IFERROR(INDEX('03.Muestra'!$F$8:$F$42,SMALL(IF("Página Web"='03.Muestra'!$D$8:$D$42,ROW('03.Muestra'!$F$8:$F$42)-MIN(ROW('03.Muestra'!$D$8:$D$42))+1,""),ROW()-170)),"")</f>
        <v xml:space="preserve">https://www.crtm.es/muevete-por-madrid/conexiones-con-aeropuerto-y-principales-estaciones/ </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desplazados Ucranianos</v>
      </c>
      <c r="C177" s="114" t="str" cm="1">
        <f t="array" ref="C177">IFERROR(INDEX('03.Muestra'!$F$8:$F$42,SMALL(IF("Página Web"='03.Muestra'!$D$8:$D$42,ROW('03.Muestra'!$F$8:$F$42)-MIN(ROW('03.Muestra'!$D$8:$D$42))+1,""),ROW()-170)),"")</f>
        <v>https://www.crtm.es/atencion-desplazados-ucranianos/#item3</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Preguntas frecuentes (Tarjeta transporte público personal)</v>
      </c>
      <c r="C178" s="114" t="str" cm="1">
        <f t="array" ref="C178">IFERROR(INDEX('03.Muestra'!$F$8:$F$42,SMALL(IF("Página Web"='03.Muestra'!$D$8:$D$42,ROW('03.Muestra'!$F$8:$F$42)-MIN(ROW('03.Muestra'!$D$8:$D$42))+1,""),ROW()-170)),"")</f>
        <v xml:space="preserve"> https://www.crtm.es/billetes-y-tarifas/tarjeta-transporte-publico/preguntas-frecuentes/#item23</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Billetes y abonos (Metro)</v>
      </c>
      <c r="C179" s="114" t="str" cm="1">
        <f t="array" ref="C179">IFERROR(INDEX('03.Muestra'!$F$8:$F$42,SMALL(IF("Página Web"='03.Muestra'!$D$8:$D$42,ROW('03.Muestra'!$F$8:$F$42)-MIN(ROW('03.Muestra'!$D$8:$D$42))+1,""),ROW()-170)),"")</f>
        <v>https://www.crtm.es/billetes-y-tarifas/billetes-y-abonos/metro/?idPestana=1&amp;lang=#item10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Billetes y tarifas (App)</v>
      </c>
      <c r="C180" s="114" t="str" cm="1">
        <f t="array" ref="C180">IFERROR(INDEX('03.Muestra'!$F$8:$F$42,SMALL(IF("Página Web"='03.Muestra'!$D$8:$D$42,ROW('03.Muestra'!$F$8:$F$42)-MIN(ROW('03.Muestra'!$D$8:$D$42))+1,""),ROW()-170)),"")</f>
        <v>https://www.crtm.es/billetes-y-tarifas/apps/</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Atención al cliente</v>
      </c>
      <c r="C181" s="114" t="str" cm="1">
        <f t="array" ref="C181">IFERROR(INDEX('03.Muestra'!$F$8:$F$42,SMALL(IF("Página Web"='03.Muestra'!$D$8:$D$42,ROW('03.Muestra'!$F$8:$F$42)-MIN(ROW('03.Muestra'!$D$8:$D$42))+1,""),ROW()-170)),"")</f>
        <v>https://www.crtm.es/atencion-al-cliente/</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Conócenos</v>
      </c>
      <c r="C182" s="114" t="str" cm="1">
        <f t="array" ref="C182">IFERROR(INDEX('03.Muestra'!$F$8:$F$42,SMALL(IF("Página Web"='03.Muestra'!$D$8:$D$42,ROW('03.Muestra'!$F$8:$F$42)-MIN(ROW('03.Muestra'!$D$8:$D$42))+1,""),ROW()-170)),"")</f>
        <v>https://www.crtm.es/conocenos/#CentrodeDocumentacion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Actualidad del servicio</v>
      </c>
      <c r="C183" s="114" t="str" cm="1">
        <f t="array" ref="C183">IFERROR(INDEX('03.Muestra'!$F$8:$F$42,SMALL(IF("Página Web"='03.Muestra'!$D$8:$D$42,ROW('03.Muestra'!$F$8:$F$42)-MIN(ROW('03.Muestra'!$D$8:$D$42))+1,""),ROW()-170)),"")</f>
        <v>https://www.crtm.es/comunicacion/actualidad-del-servicio/?idPestana=1&amp;lang=es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Galería de fotos</v>
      </c>
      <c r="C184" s="114" t="str" cm="1">
        <f t="array" ref="C184">IFERROR(INDEX('03.Muestra'!$F$8:$F$42,SMALL(IF("Página Web"='03.Muestra'!$D$8:$D$42,ROW('03.Muestra'!$F$8:$F$42)-MIN(ROW('03.Muestra'!$D$8:$D$42))+1,""),ROW()-170)),"")</f>
        <v>https://www.crtm.es/comunicacion/multimedia/galeria-de-fotos/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https://www.crtm.es/mapa-web</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Protección de datos</v>
      </c>
      <c r="C186" s="114" t="str" cm="1">
        <f t="array" ref="C186">IFERROR(INDEX('03.Muestra'!$F$8:$F$42,SMALL(IF("Página Web"='03.Muestra'!$D$8:$D$42,ROW('03.Muestra'!$F$8:$F$42)-MIN(ROW('03.Muestra'!$D$8:$D$42))+1,""),ROW()-170)),"")</f>
        <v>https://www.crtm.es/proteccion-de-datos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Política de cookies</v>
      </c>
      <c r="C187" s="114" t="str" cm="1">
        <f t="array" ref="C187">IFERROR(INDEX('03.Muestra'!$F$8:$F$42,SMALL(IF("Página Web"='03.Muestra'!$D$8:$D$42,ROW('03.Muestra'!$F$8:$F$42)-MIN(ROW('03.Muestra'!$D$8:$D$42))+1,""),ROW()-170)),"")</f>
        <v>https://www.crtm.es/politica-de-cookies</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Aviso Legal</v>
      </c>
      <c r="C188" s="114" t="str" cm="1">
        <f t="array" ref="C188">IFERROR(INDEX('03.Muestra'!$F$8:$F$42,SMALL(IF("Página Web"='03.Muestra'!$D$8:$D$42,ROW('03.Muestra'!$F$8:$F$42)-MIN(ROW('03.Muestra'!$D$8:$D$42))+1,""),ROW()-170)),"")</f>
        <v>https://www.crtm.es/aviso-legal</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Normativa</v>
      </c>
      <c r="C189" s="114" t="str" cm="1">
        <f t="array" ref="C189">IFERROR(INDEX('03.Muestra'!$F$8:$F$42,SMALL(IF("Página Web"='03.Muestra'!$D$8:$D$42,ROW('03.Muestra'!$F$8:$F$42)-MIN(ROW('03.Muestra'!$D$8:$D$42))+1,""),ROW()-170)),"")</f>
        <v>https://www.crtm.es/normativa</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Accesibilidad</v>
      </c>
      <c r="C190" s="114" t="str" cm="1">
        <f t="array" ref="C190">IFERROR(INDEX('03.Muestra'!$F$8:$F$42,SMALL(IF("Página Web"='03.Muestra'!$D$8:$D$42,ROW('03.Muestra'!$F$8:$F$42)-MIN(ROW('03.Muestra'!$D$8:$D$42))+1,""),ROW()-170)),"")</f>
        <v>https://www.crtm.es/accesibilidad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cm="1">
        <f t="array" ref="A191">IFERROR(INDEX('03.Muestra'!$B$8:$B$42,SMALL(IF("Página Web"='03.Muestra'!$D$8:$D$42,ROW('03.Muestra'!$B$8:$B$42)-MIN(ROW('03.Muestra'!$D$8:$D$42))+1,""),ROW()-170)),"")</f>
        <v>21</v>
      </c>
      <c r="B191" s="114" t="str" cm="1">
        <f t="array" ref="B191">IFERROR(INDEX('03.Muestra'!$C$8:$C$42,SMALL(IF("Página Web"='03.Muestra'!$D$8:$D$42,ROW('03.Muestra'!$C$8:$C$42)-MIN(ROW('03.Muestra'!$D$8:$D$42))+1,""),ROW()-170)),"")</f>
        <v>Modo accesible</v>
      </c>
      <c r="C191" s="114" t="str" cm="1">
        <f t="array" ref="C191">IFERROR(INDEX('03.Muestra'!$F$8:$F$42,SMALL(IF("Página Web"='03.Muestra'!$D$8:$D$42,ROW('03.Muestra'!$F$8:$F$42)-MIN(ROW('03.Muestra'!$D$8:$D$42))+1,""),ROW()-170)),"")</f>
        <v>https://www.crtm.es/</v>
      </c>
      <c r="D191" s="130" t="s">
        <v>34</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ref="D192:D205" si="9">IF(AND(B192&lt;&gt;"",C192&lt;&gt;""),"N/T","")</f>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https://www.crtm.es/</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Red de metro</v>
      </c>
      <c r="C210" s="114" t="str" cm="1">
        <f t="array" ref="C210">IFERROR(INDEX('03.Muestra'!$F$8:$F$42,SMALL(IF("Página Web"='03.Muestra'!$D$8:$D$42,ROW('03.Muestra'!$F$8:$F$42)-MIN(ROW('03.Muestra'!$D$8:$D$42))+1,""),ROW()-208)),"")</f>
        <v>https://www.crtm.es/tu-transporte-publico/metro/</v>
      </c>
      <c r="D210" s="130" t="s">
        <v>27</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20</v>
      </c>
      <c r="J210" s="120">
        <f ca="1">COUNTIF($D209:INDIRECT("$D" &amp;  SUM(ROW()-1,'03.Muestra'!$D$45)-1),J209)</f>
        <v>1</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Líneas de metro</v>
      </c>
      <c r="C211" s="114" t="str" cm="1">
        <f t="array" ref="C211">IFERROR(INDEX('03.Muestra'!$F$8:$F$42,SMALL(IF("Página Web"='03.Muestra'!$D$8:$D$42,ROW('03.Muestra'!$F$8:$F$42)-MIN(ROW('03.Muestra'!$D$8:$D$42))+1,""),ROW()-208)),"")</f>
        <v>https://www.crtm.es/tu-transporte-publico/metro/lineas/4__1___</v>
      </c>
      <c r="D211" s="130" t="s">
        <v>27</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Estaciones Aeropuerto T1-T2-T3</v>
      </c>
      <c r="C212" s="114" t="str" cm="1">
        <f t="array" ref="C212">IFERROR(INDEX('03.Muestra'!$F$8:$F$42,SMALL(IF("Página Web"='03.Muestra'!$D$8:$D$42,ROW('03.Muestra'!$F$8:$F$42)-MIN(ROW('03.Muestra'!$D$8:$D$42))+1,""),ROW()-208)),"")</f>
        <v>https://www.crtm.es/tu-transporte-publico/metro/estaciones/4_159</v>
      </c>
      <c r="D212" s="130" t="s">
        <v>27</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Muévete por Madrid</v>
      </c>
      <c r="C213" s="114" t="str" cm="1">
        <f t="array" ref="C213">IFERROR(INDEX('03.Muestra'!$F$8:$F$42,SMALL(IF("Página Web"='03.Muestra'!$D$8:$D$42,ROW('03.Muestra'!$F$8:$F$42)-MIN(ROW('03.Muestra'!$D$8:$D$42))+1,""),ROW()-208)),"")</f>
        <v>https://www.crtm.es/muevete-por-madrid/</v>
      </c>
      <c r="D213" s="130" t="s">
        <v>27</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conexiones con aeropuerto y principales estaciones</v>
      </c>
      <c r="C214" s="114" t="str" cm="1">
        <f t="array" ref="C214">IFERROR(INDEX('03.Muestra'!$F$8:$F$42,SMALL(IF("Página Web"='03.Muestra'!$D$8:$D$42,ROW('03.Muestra'!$F$8:$F$42)-MIN(ROW('03.Muestra'!$D$8:$D$42))+1,""),ROW()-208)),"")</f>
        <v xml:space="preserve">https://www.crtm.es/muevete-por-madrid/conexiones-con-aeropuerto-y-principales-estaciones/ </v>
      </c>
      <c r="D214" s="130" t="s">
        <v>27</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desplazados Ucranianos</v>
      </c>
      <c r="C215" s="114" t="str" cm="1">
        <f t="array" ref="C215">IFERROR(INDEX('03.Muestra'!$F$8:$F$42,SMALL(IF("Página Web"='03.Muestra'!$D$8:$D$42,ROW('03.Muestra'!$F$8:$F$42)-MIN(ROW('03.Muestra'!$D$8:$D$42))+1,""),ROW()-208)),"")</f>
        <v>https://www.crtm.es/atencion-desplazados-ucranianos/#item3</v>
      </c>
      <c r="D215" s="130" t="s">
        <v>27</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Preguntas frecuentes (Tarjeta transporte público personal)</v>
      </c>
      <c r="C216" s="114" t="str" cm="1">
        <f t="array" ref="C216">IFERROR(INDEX('03.Muestra'!$F$8:$F$42,SMALL(IF("Página Web"='03.Muestra'!$D$8:$D$42,ROW('03.Muestra'!$F$8:$F$42)-MIN(ROW('03.Muestra'!$D$8:$D$42))+1,""),ROW()-208)),"")</f>
        <v xml:space="preserve"> https://www.crtm.es/billetes-y-tarifas/tarjeta-transporte-publico/preguntas-frecuentes/#item23</v>
      </c>
      <c r="D216" s="130" t="s">
        <v>27</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Billetes y abonos (Metro)</v>
      </c>
      <c r="C217" s="114" t="str" cm="1">
        <f t="array" ref="C217">IFERROR(INDEX('03.Muestra'!$F$8:$F$42,SMALL(IF("Página Web"='03.Muestra'!$D$8:$D$42,ROW('03.Muestra'!$F$8:$F$42)-MIN(ROW('03.Muestra'!$D$8:$D$42))+1,""),ROW()-208)),"")</f>
        <v>https://www.crtm.es/billetes-y-tarifas/billetes-y-abonos/metro/?idPestana=1&amp;lang=#item10</v>
      </c>
      <c r="D217" s="130" t="s">
        <v>27</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Billetes y tarifas (App)</v>
      </c>
      <c r="C218" s="114" t="str" cm="1">
        <f t="array" ref="C218">IFERROR(INDEX('03.Muestra'!$F$8:$F$42,SMALL(IF("Página Web"='03.Muestra'!$D$8:$D$42,ROW('03.Muestra'!$F$8:$F$42)-MIN(ROW('03.Muestra'!$D$8:$D$42))+1,""),ROW()-208)),"")</f>
        <v>https://www.crtm.es/billetes-y-tarifas/apps/</v>
      </c>
      <c r="D218" s="130" t="s">
        <v>27</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Atención al cliente</v>
      </c>
      <c r="C219" s="114" t="str" cm="1">
        <f t="array" ref="C219">IFERROR(INDEX('03.Muestra'!$F$8:$F$42,SMALL(IF("Página Web"='03.Muestra'!$D$8:$D$42,ROW('03.Muestra'!$F$8:$F$42)-MIN(ROW('03.Muestra'!$D$8:$D$42))+1,""),ROW()-208)),"")</f>
        <v>https://www.crtm.es/atencion-al-cliente/</v>
      </c>
      <c r="D219" s="130" t="s">
        <v>27</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Conócenos</v>
      </c>
      <c r="C220" s="114" t="str" cm="1">
        <f t="array" ref="C220">IFERROR(INDEX('03.Muestra'!$F$8:$F$42,SMALL(IF("Página Web"='03.Muestra'!$D$8:$D$42,ROW('03.Muestra'!$F$8:$F$42)-MIN(ROW('03.Muestra'!$D$8:$D$42))+1,""),ROW()-208)),"")</f>
        <v>https://www.crtm.es/conocenos/#CentrodeDocumentacion</v>
      </c>
      <c r="D220" s="130" t="s">
        <v>27</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Actualidad del servicio</v>
      </c>
      <c r="C221" s="114" t="str" cm="1">
        <f t="array" ref="C221">IFERROR(INDEX('03.Muestra'!$F$8:$F$42,SMALL(IF("Página Web"='03.Muestra'!$D$8:$D$42,ROW('03.Muestra'!$F$8:$F$42)-MIN(ROW('03.Muestra'!$D$8:$D$42))+1,""),ROW()-208)),"")</f>
        <v>https://www.crtm.es/comunicacion/actualidad-del-servicio/?idPestana=1&amp;lang=es</v>
      </c>
      <c r="D221" s="130" t="s">
        <v>27</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Galería de fotos</v>
      </c>
      <c r="C222" s="114" t="str" cm="1">
        <f t="array" ref="C222">IFERROR(INDEX('03.Muestra'!$F$8:$F$42,SMALL(IF("Página Web"='03.Muestra'!$D$8:$D$42,ROW('03.Muestra'!$F$8:$F$42)-MIN(ROW('03.Muestra'!$D$8:$D$42))+1,""),ROW()-208)),"")</f>
        <v>https://www.crtm.es/comunicacion/multimedia/galeria-de-fotos/</v>
      </c>
      <c r="D222" s="130" t="s">
        <v>27</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https://www.crtm.es/mapa-web</v>
      </c>
      <c r="D223" s="130" t="s">
        <v>27</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Protección de datos</v>
      </c>
      <c r="C224" s="114" t="str" cm="1">
        <f t="array" ref="C224">IFERROR(INDEX('03.Muestra'!$F$8:$F$42,SMALL(IF("Página Web"='03.Muestra'!$D$8:$D$42,ROW('03.Muestra'!$F$8:$F$42)-MIN(ROW('03.Muestra'!$D$8:$D$42))+1,""),ROW()-208)),"")</f>
        <v>https://www.crtm.es/proteccion-de-datos</v>
      </c>
      <c r="D224" s="130" t="s">
        <v>27</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Política de cookies</v>
      </c>
      <c r="C225" s="114" t="str" cm="1">
        <f t="array" ref="C225">IFERROR(INDEX('03.Muestra'!$F$8:$F$42,SMALL(IF("Página Web"='03.Muestra'!$D$8:$D$42,ROW('03.Muestra'!$F$8:$F$42)-MIN(ROW('03.Muestra'!$D$8:$D$42))+1,""),ROW()-208)),"")</f>
        <v>https://www.crtm.es/politica-de-cookies</v>
      </c>
      <c r="D225" s="130" t="s">
        <v>27</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Aviso Legal</v>
      </c>
      <c r="C226" s="114" t="str" cm="1">
        <f t="array" ref="C226">IFERROR(INDEX('03.Muestra'!$F$8:$F$42,SMALL(IF("Página Web"='03.Muestra'!$D$8:$D$42,ROW('03.Muestra'!$F$8:$F$42)-MIN(ROW('03.Muestra'!$D$8:$D$42))+1,""),ROW()-208)),"")</f>
        <v>https://www.crtm.es/aviso-legal</v>
      </c>
      <c r="D226" s="130" t="s">
        <v>27</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Normativa</v>
      </c>
      <c r="C227" s="114" t="str" cm="1">
        <f t="array" ref="C227">IFERROR(INDEX('03.Muestra'!$F$8:$F$42,SMALL(IF("Página Web"='03.Muestra'!$D$8:$D$42,ROW('03.Muestra'!$F$8:$F$42)-MIN(ROW('03.Muestra'!$D$8:$D$42))+1,""),ROW()-208)),"")</f>
        <v>https://www.crtm.es/normativa</v>
      </c>
      <c r="D227" s="130" t="s">
        <v>27</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Accesibilidad</v>
      </c>
      <c r="C228" s="114" t="str" cm="1">
        <f t="array" ref="C228">IFERROR(INDEX('03.Muestra'!$F$8:$F$42,SMALL(IF("Página Web"='03.Muestra'!$D$8:$D$42,ROW('03.Muestra'!$F$8:$F$42)-MIN(ROW('03.Muestra'!$D$8:$D$42))+1,""),ROW()-208)),"")</f>
        <v>https://www.crtm.es/accesibilidad</v>
      </c>
      <c r="D228" s="130" t="s">
        <v>27</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cm="1">
        <f t="array" ref="A229">IFERROR(INDEX('03.Muestra'!$B$8:$B$42,SMALL(IF("Página Web"='03.Muestra'!$D$8:$D$42,ROW('03.Muestra'!$B$8:$B$42)-MIN(ROW('03.Muestra'!$D$8:$D$42))+1,""),ROW()-208)),"")</f>
        <v>21</v>
      </c>
      <c r="B229" s="114" t="str" cm="1">
        <f t="array" ref="B229">IFERROR(INDEX('03.Muestra'!$C$8:$C$42,SMALL(IF("Página Web"='03.Muestra'!$D$8:$D$42,ROW('03.Muestra'!$C$8:$C$42)-MIN(ROW('03.Muestra'!$D$8:$D$42))+1,""),ROW()-208)),"")</f>
        <v>Modo accesible</v>
      </c>
      <c r="C229" s="114" t="str" cm="1">
        <f t="array" ref="C229">IFERROR(INDEX('03.Muestra'!$F$8:$F$42,SMALL(IF("Página Web"='03.Muestra'!$D$8:$D$42,ROW('03.Muestra'!$F$8:$F$42)-MIN(ROW('03.Muestra'!$D$8:$D$42))+1,""),ROW()-208)),"")</f>
        <v>https://www.crtm.es/</v>
      </c>
      <c r="D229" s="130" t="s">
        <v>25</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ref="D230:D243" si="11">IF(AND(B230&lt;&gt;"",C230&lt;&gt;""),"N/T","")</f>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https://www.crtm.es/</v>
      </c>
      <c r="D247" s="130" t="s">
        <v>27</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Red de metro</v>
      </c>
      <c r="C248" s="114" t="str" cm="1">
        <f t="array" ref="C248">IFERROR(INDEX('03.Muestra'!$F$8:$F$42,SMALL(IF("Página Web"='03.Muestra'!$D$8:$D$42,ROW('03.Muestra'!$F$8:$F$42)-MIN(ROW('03.Muestra'!$D$8:$D$42))+1,""),ROW()-246)),"")</f>
        <v>https://www.crtm.es/tu-transporte-publico/metro/</v>
      </c>
      <c r="D248" s="130" t="s">
        <v>27</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20</v>
      </c>
      <c r="J248" s="120">
        <f ca="1">COUNTIF($D247:INDIRECT("$D" &amp;  SUM(ROW()-1,'03.Muestra'!$D$45)-1),J247)</f>
        <v>1</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Líneas de metro</v>
      </c>
      <c r="C249" s="114" t="str" cm="1">
        <f t="array" ref="C249">IFERROR(INDEX('03.Muestra'!$F$8:$F$42,SMALL(IF("Página Web"='03.Muestra'!$D$8:$D$42,ROW('03.Muestra'!$F$8:$F$42)-MIN(ROW('03.Muestra'!$D$8:$D$42))+1,""),ROW()-246)),"")</f>
        <v>https://www.crtm.es/tu-transporte-publico/metro/lineas/4__1___</v>
      </c>
      <c r="D249" s="130" t="s">
        <v>27</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Estaciones Aeropuerto T1-T2-T3</v>
      </c>
      <c r="C250" s="114" t="str" cm="1">
        <f t="array" ref="C250">IFERROR(INDEX('03.Muestra'!$F$8:$F$42,SMALL(IF("Página Web"='03.Muestra'!$D$8:$D$42,ROW('03.Muestra'!$F$8:$F$42)-MIN(ROW('03.Muestra'!$D$8:$D$42))+1,""),ROW()-246)),"")</f>
        <v>https://www.crtm.es/tu-transporte-publico/metro/estaciones/4_159</v>
      </c>
      <c r="D250" s="130" t="s">
        <v>27</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Muévete por Madrid</v>
      </c>
      <c r="C251" s="114" t="str" cm="1">
        <f t="array" ref="C251">IFERROR(INDEX('03.Muestra'!$F$8:$F$42,SMALL(IF("Página Web"='03.Muestra'!$D$8:$D$42,ROW('03.Muestra'!$F$8:$F$42)-MIN(ROW('03.Muestra'!$D$8:$D$42))+1,""),ROW()-246)),"")</f>
        <v>https://www.crtm.es/muevete-por-madrid/</v>
      </c>
      <c r="D251" s="130" t="s">
        <v>27</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conexiones con aeropuerto y principales estaciones</v>
      </c>
      <c r="C252" s="114" t="str" cm="1">
        <f t="array" ref="C252">IFERROR(INDEX('03.Muestra'!$F$8:$F$42,SMALL(IF("Página Web"='03.Muestra'!$D$8:$D$42,ROW('03.Muestra'!$F$8:$F$42)-MIN(ROW('03.Muestra'!$D$8:$D$42))+1,""),ROW()-246)),"")</f>
        <v xml:space="preserve">https://www.crtm.es/muevete-por-madrid/conexiones-con-aeropuerto-y-principales-estaciones/ </v>
      </c>
      <c r="D252" s="130" t="s">
        <v>27</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desplazados Ucranianos</v>
      </c>
      <c r="C253" s="114" t="str" cm="1">
        <f t="array" ref="C253">IFERROR(INDEX('03.Muestra'!$F$8:$F$42,SMALL(IF("Página Web"='03.Muestra'!$D$8:$D$42,ROW('03.Muestra'!$F$8:$F$42)-MIN(ROW('03.Muestra'!$D$8:$D$42))+1,""),ROW()-246)),"")</f>
        <v>https://www.crtm.es/atencion-desplazados-ucranianos/#item3</v>
      </c>
      <c r="D253" s="130" t="s">
        <v>27</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Preguntas frecuentes (Tarjeta transporte público personal)</v>
      </c>
      <c r="C254" s="114" t="str" cm="1">
        <f t="array" ref="C254">IFERROR(INDEX('03.Muestra'!$F$8:$F$42,SMALL(IF("Página Web"='03.Muestra'!$D$8:$D$42,ROW('03.Muestra'!$F$8:$F$42)-MIN(ROW('03.Muestra'!$D$8:$D$42))+1,""),ROW()-246)),"")</f>
        <v xml:space="preserve"> https://www.crtm.es/billetes-y-tarifas/tarjeta-transporte-publico/preguntas-frecuentes/#item23</v>
      </c>
      <c r="D254" s="130" t="s">
        <v>27</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Billetes y abonos (Metro)</v>
      </c>
      <c r="C255" s="114" t="str" cm="1">
        <f t="array" ref="C255">IFERROR(INDEX('03.Muestra'!$F$8:$F$42,SMALL(IF("Página Web"='03.Muestra'!$D$8:$D$42,ROW('03.Muestra'!$F$8:$F$42)-MIN(ROW('03.Muestra'!$D$8:$D$42))+1,""),ROW()-246)),"")</f>
        <v>https://www.crtm.es/billetes-y-tarifas/billetes-y-abonos/metro/?idPestana=1&amp;lang=#item10</v>
      </c>
      <c r="D255" s="130" t="s">
        <v>27</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Billetes y tarifas (App)</v>
      </c>
      <c r="C256" s="114" t="str" cm="1">
        <f t="array" ref="C256">IFERROR(INDEX('03.Muestra'!$F$8:$F$42,SMALL(IF("Página Web"='03.Muestra'!$D$8:$D$42,ROW('03.Muestra'!$F$8:$F$42)-MIN(ROW('03.Muestra'!$D$8:$D$42))+1,""),ROW()-246)),"")</f>
        <v>https://www.crtm.es/billetes-y-tarifas/apps/</v>
      </c>
      <c r="D256" s="130" t="s">
        <v>27</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Atención al cliente</v>
      </c>
      <c r="C257" s="114" t="str" cm="1">
        <f t="array" ref="C257">IFERROR(INDEX('03.Muestra'!$F$8:$F$42,SMALL(IF("Página Web"='03.Muestra'!$D$8:$D$42,ROW('03.Muestra'!$F$8:$F$42)-MIN(ROW('03.Muestra'!$D$8:$D$42))+1,""),ROW()-246)),"")</f>
        <v>https://www.crtm.es/atencion-al-cliente/</v>
      </c>
      <c r="D257" s="130" t="s">
        <v>27</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Conócenos</v>
      </c>
      <c r="C258" s="114" t="str" cm="1">
        <f t="array" ref="C258">IFERROR(INDEX('03.Muestra'!$F$8:$F$42,SMALL(IF("Página Web"='03.Muestra'!$D$8:$D$42,ROW('03.Muestra'!$F$8:$F$42)-MIN(ROW('03.Muestra'!$D$8:$D$42))+1,""),ROW()-246)),"")</f>
        <v>https://www.crtm.es/conocenos/#CentrodeDocumentacion</v>
      </c>
      <c r="D258" s="130" t="s">
        <v>27</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Actualidad del servicio</v>
      </c>
      <c r="C259" s="114" t="str" cm="1">
        <f t="array" ref="C259">IFERROR(INDEX('03.Muestra'!$F$8:$F$42,SMALL(IF("Página Web"='03.Muestra'!$D$8:$D$42,ROW('03.Muestra'!$F$8:$F$42)-MIN(ROW('03.Muestra'!$D$8:$D$42))+1,""),ROW()-246)),"")</f>
        <v>https://www.crtm.es/comunicacion/actualidad-del-servicio/?idPestana=1&amp;lang=es</v>
      </c>
      <c r="D259" s="130" t="s">
        <v>27</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Galería de fotos</v>
      </c>
      <c r="C260" s="114" t="str" cm="1">
        <f t="array" ref="C260">IFERROR(INDEX('03.Muestra'!$F$8:$F$42,SMALL(IF("Página Web"='03.Muestra'!$D$8:$D$42,ROW('03.Muestra'!$F$8:$F$42)-MIN(ROW('03.Muestra'!$D$8:$D$42))+1,""),ROW()-246)),"")</f>
        <v>https://www.crtm.es/comunicacion/multimedia/galeria-de-fotos/</v>
      </c>
      <c r="D260" s="130" t="s">
        <v>27</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Mapa web</v>
      </c>
      <c r="C261" s="114" t="str" cm="1">
        <f t="array" ref="C261">IFERROR(INDEX('03.Muestra'!$F$8:$F$42,SMALL(IF("Página Web"='03.Muestra'!$D$8:$D$42,ROW('03.Muestra'!$F$8:$F$42)-MIN(ROW('03.Muestra'!$D$8:$D$42))+1,""),ROW()-246)),"")</f>
        <v>https://www.crtm.es/mapa-web</v>
      </c>
      <c r="D261" s="130" t="s">
        <v>27</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Protección de datos</v>
      </c>
      <c r="C262" s="114" t="str" cm="1">
        <f t="array" ref="C262">IFERROR(INDEX('03.Muestra'!$F$8:$F$42,SMALL(IF("Página Web"='03.Muestra'!$D$8:$D$42,ROW('03.Muestra'!$F$8:$F$42)-MIN(ROW('03.Muestra'!$D$8:$D$42))+1,""),ROW()-246)),"")</f>
        <v>https://www.crtm.es/proteccion-de-datos</v>
      </c>
      <c r="D262" s="130" t="s">
        <v>27</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Política de cookies</v>
      </c>
      <c r="C263" s="114" t="str" cm="1">
        <f t="array" ref="C263">IFERROR(INDEX('03.Muestra'!$F$8:$F$42,SMALL(IF("Página Web"='03.Muestra'!$D$8:$D$42,ROW('03.Muestra'!$F$8:$F$42)-MIN(ROW('03.Muestra'!$D$8:$D$42))+1,""),ROW()-246)),"")</f>
        <v>https://www.crtm.es/politica-de-cookies</v>
      </c>
      <c r="D263" s="130" t="s">
        <v>27</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Aviso Legal</v>
      </c>
      <c r="C264" s="114" t="str" cm="1">
        <f t="array" ref="C264">IFERROR(INDEX('03.Muestra'!$F$8:$F$42,SMALL(IF("Página Web"='03.Muestra'!$D$8:$D$42,ROW('03.Muestra'!$F$8:$F$42)-MIN(ROW('03.Muestra'!$D$8:$D$42))+1,""),ROW()-246)),"")</f>
        <v>https://www.crtm.es/aviso-legal</v>
      </c>
      <c r="D264" s="130" t="s">
        <v>27</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Normativa</v>
      </c>
      <c r="C265" s="114" t="str" cm="1">
        <f t="array" ref="C265">IFERROR(INDEX('03.Muestra'!$F$8:$F$42,SMALL(IF("Página Web"='03.Muestra'!$D$8:$D$42,ROW('03.Muestra'!$F$8:$F$42)-MIN(ROW('03.Muestra'!$D$8:$D$42))+1,""),ROW()-246)),"")</f>
        <v>https://www.crtm.es/normativa</v>
      </c>
      <c r="D265" s="130" t="s">
        <v>27</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Accesibilidad</v>
      </c>
      <c r="C266" s="114" t="str" cm="1">
        <f t="array" ref="C266">IFERROR(INDEX('03.Muestra'!$F$8:$F$42,SMALL(IF("Página Web"='03.Muestra'!$D$8:$D$42,ROW('03.Muestra'!$F$8:$F$42)-MIN(ROW('03.Muestra'!$D$8:$D$42))+1,""),ROW()-246)),"")</f>
        <v>https://www.crtm.es/accesibilidad</v>
      </c>
      <c r="D266" s="130" t="s">
        <v>27</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cm="1">
        <f t="array" ref="A267">IFERROR(INDEX('03.Muestra'!$B$8:$B$42,SMALL(IF("Página Web"='03.Muestra'!$D$8:$D$42,ROW('03.Muestra'!$B$8:$B$42)-MIN(ROW('03.Muestra'!$D$8:$D$42))+1,""),ROW()-246)),"")</f>
        <v>21</v>
      </c>
      <c r="B267" s="114" t="str" cm="1">
        <f t="array" ref="B267">IFERROR(INDEX('03.Muestra'!$C$8:$C$42,SMALL(IF("Página Web"='03.Muestra'!$D$8:$D$42,ROW('03.Muestra'!$C$8:$C$42)-MIN(ROW('03.Muestra'!$D$8:$D$42))+1,""),ROW()-246)),"")</f>
        <v>Modo accesible</v>
      </c>
      <c r="C267" s="114" t="str" cm="1">
        <f t="array" ref="C267">IFERROR(INDEX('03.Muestra'!$F$8:$F$42,SMALL(IF("Página Web"='03.Muestra'!$D$8:$D$42,ROW('03.Muestra'!$F$8:$F$42)-MIN(ROW('03.Muestra'!$D$8:$D$42))+1,""),ROW()-246)),"")</f>
        <v>https://www.crtm.es/</v>
      </c>
      <c r="D267" s="130" t="s">
        <v>25</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ref="D268:D281" si="13">IF(AND(B268&lt;&gt;"",C268&lt;&gt;""),"N/T","")</f>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https://www.crtm.es/</v>
      </c>
      <c r="D285" s="130" t="s">
        <v>27</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Red de metro</v>
      </c>
      <c r="C286" s="114" t="str" cm="1">
        <f t="array" ref="C286">IFERROR(INDEX('03.Muestra'!$F$8:$F$42,SMALL(IF("Página Web"='03.Muestra'!$D$8:$D$42,ROW('03.Muestra'!$F$8:$F$42)-MIN(ROW('03.Muestra'!$D$8:$D$42))+1,""),ROW()-284)),"")</f>
        <v>https://www.crtm.es/tu-transporte-publico/metro/</v>
      </c>
      <c r="D286" s="130" t="s">
        <v>27</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20</v>
      </c>
      <c r="J286" s="120">
        <f ca="1">COUNTIF($D285:INDIRECT("$D" &amp;  SUM(ROW()-1,'03.Muestra'!$D$45)-1),J285)</f>
        <v>1</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Líneas de metro</v>
      </c>
      <c r="C287" s="114" t="str" cm="1">
        <f t="array" ref="C287">IFERROR(INDEX('03.Muestra'!$F$8:$F$42,SMALL(IF("Página Web"='03.Muestra'!$D$8:$D$42,ROW('03.Muestra'!$F$8:$F$42)-MIN(ROW('03.Muestra'!$D$8:$D$42))+1,""),ROW()-284)),"")</f>
        <v>https://www.crtm.es/tu-transporte-publico/metro/lineas/4__1___</v>
      </c>
      <c r="D287" s="130" t="s">
        <v>27</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Estaciones Aeropuerto T1-T2-T3</v>
      </c>
      <c r="C288" s="114" t="str" cm="1">
        <f t="array" ref="C288">IFERROR(INDEX('03.Muestra'!$F$8:$F$42,SMALL(IF("Página Web"='03.Muestra'!$D$8:$D$42,ROW('03.Muestra'!$F$8:$F$42)-MIN(ROW('03.Muestra'!$D$8:$D$42))+1,""),ROW()-284)),"")</f>
        <v>https://www.crtm.es/tu-transporte-publico/metro/estaciones/4_159</v>
      </c>
      <c r="D288" s="130" t="s">
        <v>27</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Muévete por Madrid</v>
      </c>
      <c r="C289" s="114" t="str" cm="1">
        <f t="array" ref="C289">IFERROR(INDEX('03.Muestra'!$F$8:$F$42,SMALL(IF("Página Web"='03.Muestra'!$D$8:$D$42,ROW('03.Muestra'!$F$8:$F$42)-MIN(ROW('03.Muestra'!$D$8:$D$42))+1,""),ROW()-284)),"")</f>
        <v>https://www.crtm.es/muevete-por-madrid/</v>
      </c>
      <c r="D289" s="130" t="s">
        <v>27</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conexiones con aeropuerto y principales estaciones</v>
      </c>
      <c r="C290" s="114" t="str" cm="1">
        <f t="array" ref="C290">IFERROR(INDEX('03.Muestra'!$F$8:$F$42,SMALL(IF("Página Web"='03.Muestra'!$D$8:$D$42,ROW('03.Muestra'!$F$8:$F$42)-MIN(ROW('03.Muestra'!$D$8:$D$42))+1,""),ROW()-284)),"")</f>
        <v xml:space="preserve">https://www.crtm.es/muevete-por-madrid/conexiones-con-aeropuerto-y-principales-estaciones/ </v>
      </c>
      <c r="D290" s="130" t="s">
        <v>27</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desplazados Ucranianos</v>
      </c>
      <c r="C291" s="114" t="str" cm="1">
        <f t="array" ref="C291">IFERROR(INDEX('03.Muestra'!$F$8:$F$42,SMALL(IF("Página Web"='03.Muestra'!$D$8:$D$42,ROW('03.Muestra'!$F$8:$F$42)-MIN(ROW('03.Muestra'!$D$8:$D$42))+1,""),ROW()-284)),"")</f>
        <v>https://www.crtm.es/atencion-desplazados-ucranianos/#item3</v>
      </c>
      <c r="D291" s="130" t="s">
        <v>27</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Preguntas frecuentes (Tarjeta transporte público personal)</v>
      </c>
      <c r="C292" s="114" t="str" cm="1">
        <f t="array" ref="C292">IFERROR(INDEX('03.Muestra'!$F$8:$F$42,SMALL(IF("Página Web"='03.Muestra'!$D$8:$D$42,ROW('03.Muestra'!$F$8:$F$42)-MIN(ROW('03.Muestra'!$D$8:$D$42))+1,""),ROW()-284)),"")</f>
        <v xml:space="preserve"> https://www.crtm.es/billetes-y-tarifas/tarjeta-transporte-publico/preguntas-frecuentes/#item23</v>
      </c>
      <c r="D292" s="130" t="s">
        <v>27</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Billetes y abonos (Metro)</v>
      </c>
      <c r="C293" s="114" t="str" cm="1">
        <f t="array" ref="C293">IFERROR(INDEX('03.Muestra'!$F$8:$F$42,SMALL(IF("Página Web"='03.Muestra'!$D$8:$D$42,ROW('03.Muestra'!$F$8:$F$42)-MIN(ROW('03.Muestra'!$D$8:$D$42))+1,""),ROW()-284)),"")</f>
        <v>https://www.crtm.es/billetes-y-tarifas/billetes-y-abonos/metro/?idPestana=1&amp;lang=#item10</v>
      </c>
      <c r="D293" s="130" t="s">
        <v>27</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Billetes y tarifas (App)</v>
      </c>
      <c r="C294" s="114" t="str" cm="1">
        <f t="array" ref="C294">IFERROR(INDEX('03.Muestra'!$F$8:$F$42,SMALL(IF("Página Web"='03.Muestra'!$D$8:$D$42,ROW('03.Muestra'!$F$8:$F$42)-MIN(ROW('03.Muestra'!$D$8:$D$42))+1,""),ROW()-284)),"")</f>
        <v>https://www.crtm.es/billetes-y-tarifas/apps/</v>
      </c>
      <c r="D294" s="130" t="s">
        <v>27</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Atención al cliente</v>
      </c>
      <c r="C295" s="114" t="str" cm="1">
        <f t="array" ref="C295">IFERROR(INDEX('03.Muestra'!$F$8:$F$42,SMALL(IF("Página Web"='03.Muestra'!$D$8:$D$42,ROW('03.Muestra'!$F$8:$F$42)-MIN(ROW('03.Muestra'!$D$8:$D$42))+1,""),ROW()-284)),"")</f>
        <v>https://www.crtm.es/atencion-al-cliente/</v>
      </c>
      <c r="D295" s="130" t="s">
        <v>27</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Conócenos</v>
      </c>
      <c r="C296" s="114" t="str" cm="1">
        <f t="array" ref="C296">IFERROR(INDEX('03.Muestra'!$F$8:$F$42,SMALL(IF("Página Web"='03.Muestra'!$D$8:$D$42,ROW('03.Muestra'!$F$8:$F$42)-MIN(ROW('03.Muestra'!$D$8:$D$42))+1,""),ROW()-284)),"")</f>
        <v>https://www.crtm.es/conocenos/#CentrodeDocumentacion</v>
      </c>
      <c r="D296" s="130" t="s">
        <v>27</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Actualidad del servicio</v>
      </c>
      <c r="C297" s="114" t="str" cm="1">
        <f t="array" ref="C297">IFERROR(INDEX('03.Muestra'!$F$8:$F$42,SMALL(IF("Página Web"='03.Muestra'!$D$8:$D$42,ROW('03.Muestra'!$F$8:$F$42)-MIN(ROW('03.Muestra'!$D$8:$D$42))+1,""),ROW()-284)),"")</f>
        <v>https://www.crtm.es/comunicacion/actualidad-del-servicio/?idPestana=1&amp;lang=es</v>
      </c>
      <c r="D297" s="130" t="s">
        <v>27</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Galería de fotos</v>
      </c>
      <c r="C298" s="114" t="str" cm="1">
        <f t="array" ref="C298">IFERROR(INDEX('03.Muestra'!$F$8:$F$42,SMALL(IF("Página Web"='03.Muestra'!$D$8:$D$42,ROW('03.Muestra'!$F$8:$F$42)-MIN(ROW('03.Muestra'!$D$8:$D$42))+1,""),ROW()-284)),"")</f>
        <v>https://www.crtm.es/comunicacion/multimedia/galeria-de-fotos/</v>
      </c>
      <c r="D298" s="130" t="s">
        <v>27</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Mapa web</v>
      </c>
      <c r="C299" s="114" t="str" cm="1">
        <f t="array" ref="C299">IFERROR(INDEX('03.Muestra'!$F$8:$F$42,SMALL(IF("Página Web"='03.Muestra'!$D$8:$D$42,ROW('03.Muestra'!$F$8:$F$42)-MIN(ROW('03.Muestra'!$D$8:$D$42))+1,""),ROW()-284)),"")</f>
        <v>https://www.crtm.es/mapa-web</v>
      </c>
      <c r="D299" s="130" t="s">
        <v>27</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Protección de datos</v>
      </c>
      <c r="C300" s="114" t="str" cm="1">
        <f t="array" ref="C300">IFERROR(INDEX('03.Muestra'!$F$8:$F$42,SMALL(IF("Página Web"='03.Muestra'!$D$8:$D$42,ROW('03.Muestra'!$F$8:$F$42)-MIN(ROW('03.Muestra'!$D$8:$D$42))+1,""),ROW()-284)),"")</f>
        <v>https://www.crtm.es/proteccion-de-datos</v>
      </c>
      <c r="D300" s="130" t="s">
        <v>27</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Política de cookies</v>
      </c>
      <c r="C301" s="114" t="str" cm="1">
        <f t="array" ref="C301">IFERROR(INDEX('03.Muestra'!$F$8:$F$42,SMALL(IF("Página Web"='03.Muestra'!$D$8:$D$42,ROW('03.Muestra'!$F$8:$F$42)-MIN(ROW('03.Muestra'!$D$8:$D$42))+1,""),ROW()-284)),"")</f>
        <v>https://www.crtm.es/politica-de-cookies</v>
      </c>
      <c r="D301" s="130" t="s">
        <v>27</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Aviso Legal</v>
      </c>
      <c r="C302" s="114" t="str" cm="1">
        <f t="array" ref="C302">IFERROR(INDEX('03.Muestra'!$F$8:$F$42,SMALL(IF("Página Web"='03.Muestra'!$D$8:$D$42,ROW('03.Muestra'!$F$8:$F$42)-MIN(ROW('03.Muestra'!$D$8:$D$42))+1,""),ROW()-284)),"")</f>
        <v>https://www.crtm.es/aviso-legal</v>
      </c>
      <c r="D302" s="130" t="s">
        <v>27</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Normativa</v>
      </c>
      <c r="C303" s="114" t="str" cm="1">
        <f t="array" ref="C303">IFERROR(INDEX('03.Muestra'!$F$8:$F$42,SMALL(IF("Página Web"='03.Muestra'!$D$8:$D$42,ROW('03.Muestra'!$F$8:$F$42)-MIN(ROW('03.Muestra'!$D$8:$D$42))+1,""),ROW()-284)),"")</f>
        <v>https://www.crtm.es/normativa</v>
      </c>
      <c r="D303" s="130" t="s">
        <v>27</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Accesibilidad</v>
      </c>
      <c r="C304" s="114" t="str" cm="1">
        <f t="array" ref="C304">IFERROR(INDEX('03.Muestra'!$F$8:$F$42,SMALL(IF("Página Web"='03.Muestra'!$D$8:$D$42,ROW('03.Muestra'!$F$8:$F$42)-MIN(ROW('03.Muestra'!$D$8:$D$42))+1,""),ROW()-284)),"")</f>
        <v>https://www.crtm.es/accesibilidad</v>
      </c>
      <c r="D304" s="130" t="s">
        <v>27</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cm="1">
        <f t="array" ref="A305">IFERROR(INDEX('03.Muestra'!$B$8:$B$42,SMALL(IF("Página Web"='03.Muestra'!$D$8:$D$42,ROW('03.Muestra'!$B$8:$B$42)-MIN(ROW('03.Muestra'!$D$8:$D$42))+1,""),ROW()-284)),"")</f>
        <v>21</v>
      </c>
      <c r="B305" s="114" t="str" cm="1">
        <f t="array" ref="B305">IFERROR(INDEX('03.Muestra'!$C$8:$C$42,SMALL(IF("Página Web"='03.Muestra'!$D$8:$D$42,ROW('03.Muestra'!$C$8:$C$42)-MIN(ROW('03.Muestra'!$D$8:$D$42))+1,""),ROW()-284)),"")</f>
        <v>Modo accesible</v>
      </c>
      <c r="C305" s="114" t="str" cm="1">
        <f t="array" ref="C305">IFERROR(INDEX('03.Muestra'!$F$8:$F$42,SMALL(IF("Página Web"='03.Muestra'!$D$8:$D$42,ROW('03.Muestra'!$F$8:$F$42)-MIN(ROW('03.Muestra'!$D$8:$D$42))+1,""),ROW()-284)),"")</f>
        <v>https://www.crtm.es/</v>
      </c>
      <c r="D305" s="130" t="s">
        <v>25</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ref="D306:D319" si="15">IF(AND(B306&lt;&gt;"",C306&lt;&gt;""),"N/T","")</f>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https://www.crtm.es/</v>
      </c>
      <c r="D323" s="130" t="s">
        <v>25</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Red de metro</v>
      </c>
      <c r="C324" s="114" t="str" cm="1">
        <f t="array" ref="C324">IFERROR(INDEX('03.Muestra'!$F$8:$F$42,SMALL(IF("Página Web"='03.Muestra'!$D$8:$D$42,ROW('03.Muestra'!$F$8:$F$42)-MIN(ROW('03.Muestra'!$D$8:$D$42))+1,""),ROW()-322)),"")</f>
        <v>https://www.crtm.es/tu-transporte-publico/metro/</v>
      </c>
      <c r="D324" s="130" t="s">
        <v>25</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21</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Líneas de metro</v>
      </c>
      <c r="C325" s="114" t="str" cm="1">
        <f t="array" ref="C325">IFERROR(INDEX('03.Muestra'!$F$8:$F$42,SMALL(IF("Página Web"='03.Muestra'!$D$8:$D$42,ROW('03.Muestra'!$F$8:$F$42)-MIN(ROW('03.Muestra'!$D$8:$D$42))+1,""),ROW()-322)),"")</f>
        <v>https://www.crtm.es/tu-transporte-publico/metro/lineas/4__1___</v>
      </c>
      <c r="D325" s="130" t="s">
        <v>25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Estaciones Aeropuerto T1-T2-T3</v>
      </c>
      <c r="C326" s="114" t="str" cm="1">
        <f t="array" ref="C326">IFERROR(INDEX('03.Muestra'!$F$8:$F$42,SMALL(IF("Página Web"='03.Muestra'!$D$8:$D$42,ROW('03.Muestra'!$F$8:$F$42)-MIN(ROW('03.Muestra'!$D$8:$D$42))+1,""),ROW()-322)),"")</f>
        <v>https://www.crtm.es/tu-transporte-publico/metro/estaciones/4_159</v>
      </c>
      <c r="D326" s="130" t="s">
        <v>25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Muévete por Madrid</v>
      </c>
      <c r="C327" s="114" t="str" cm="1">
        <f t="array" ref="C327">IFERROR(INDEX('03.Muestra'!$F$8:$F$42,SMALL(IF("Página Web"='03.Muestra'!$D$8:$D$42,ROW('03.Muestra'!$F$8:$F$42)-MIN(ROW('03.Muestra'!$D$8:$D$42))+1,""),ROW()-322)),"")</f>
        <v>https://www.crtm.es/muevete-por-madrid/</v>
      </c>
      <c r="D327" s="130" t="s">
        <v>25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conexiones con aeropuerto y principales estaciones</v>
      </c>
      <c r="C328" s="114" t="str" cm="1">
        <f t="array" ref="C328">IFERROR(INDEX('03.Muestra'!$F$8:$F$42,SMALL(IF("Página Web"='03.Muestra'!$D$8:$D$42,ROW('03.Muestra'!$F$8:$F$42)-MIN(ROW('03.Muestra'!$D$8:$D$42))+1,""),ROW()-322)),"")</f>
        <v xml:space="preserve">https://www.crtm.es/muevete-por-madrid/conexiones-con-aeropuerto-y-principales-estaciones/ </v>
      </c>
      <c r="D328" s="130" t="s">
        <v>25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desplazados Ucranianos</v>
      </c>
      <c r="C329" s="114" t="str" cm="1">
        <f t="array" ref="C329">IFERROR(INDEX('03.Muestra'!$F$8:$F$42,SMALL(IF("Página Web"='03.Muestra'!$D$8:$D$42,ROW('03.Muestra'!$F$8:$F$42)-MIN(ROW('03.Muestra'!$D$8:$D$42))+1,""),ROW()-322)),"")</f>
        <v>https://www.crtm.es/atencion-desplazados-ucranianos/#item3</v>
      </c>
      <c r="D329" s="130" t="s">
        <v>25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Preguntas frecuentes (Tarjeta transporte público personal)</v>
      </c>
      <c r="C330" s="114" t="str" cm="1">
        <f t="array" ref="C330">IFERROR(INDEX('03.Muestra'!$F$8:$F$42,SMALL(IF("Página Web"='03.Muestra'!$D$8:$D$42,ROW('03.Muestra'!$F$8:$F$42)-MIN(ROW('03.Muestra'!$D$8:$D$42))+1,""),ROW()-322)),"")</f>
        <v xml:space="preserve"> https://www.crtm.es/billetes-y-tarifas/tarjeta-transporte-publico/preguntas-frecuentes/#item23</v>
      </c>
      <c r="D330" s="130" t="s">
        <v>25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Billetes y abonos (Metro)</v>
      </c>
      <c r="C331" s="114" t="str" cm="1">
        <f t="array" ref="C331">IFERROR(INDEX('03.Muestra'!$F$8:$F$42,SMALL(IF("Página Web"='03.Muestra'!$D$8:$D$42,ROW('03.Muestra'!$F$8:$F$42)-MIN(ROW('03.Muestra'!$D$8:$D$42))+1,""),ROW()-322)),"")</f>
        <v>https://www.crtm.es/billetes-y-tarifas/billetes-y-abonos/metro/?idPestana=1&amp;lang=#item10</v>
      </c>
      <c r="D331" s="130" t="s">
        <v>25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Billetes y tarifas (App)</v>
      </c>
      <c r="C332" s="114" t="str" cm="1">
        <f t="array" ref="C332">IFERROR(INDEX('03.Muestra'!$F$8:$F$42,SMALL(IF("Página Web"='03.Muestra'!$D$8:$D$42,ROW('03.Muestra'!$F$8:$F$42)-MIN(ROW('03.Muestra'!$D$8:$D$42))+1,""),ROW()-322)),"")</f>
        <v>https://www.crtm.es/billetes-y-tarifas/apps/</v>
      </c>
      <c r="D332" s="130" t="s">
        <v>25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Atención al cliente</v>
      </c>
      <c r="C333" s="114" t="str" cm="1">
        <f t="array" ref="C333">IFERROR(INDEX('03.Muestra'!$F$8:$F$42,SMALL(IF("Página Web"='03.Muestra'!$D$8:$D$42,ROW('03.Muestra'!$F$8:$F$42)-MIN(ROW('03.Muestra'!$D$8:$D$42))+1,""),ROW()-322)),"")</f>
        <v>https://www.crtm.es/atencion-al-cliente/</v>
      </c>
      <c r="D333" s="130" t="s">
        <v>25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Conócenos</v>
      </c>
      <c r="C334" s="114" t="str" cm="1">
        <f t="array" ref="C334">IFERROR(INDEX('03.Muestra'!$F$8:$F$42,SMALL(IF("Página Web"='03.Muestra'!$D$8:$D$42,ROW('03.Muestra'!$F$8:$F$42)-MIN(ROW('03.Muestra'!$D$8:$D$42))+1,""),ROW()-322)),"")</f>
        <v>https://www.crtm.es/conocenos/#CentrodeDocumentacion</v>
      </c>
      <c r="D334" s="130" t="s">
        <v>25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Actualidad del servicio</v>
      </c>
      <c r="C335" s="114" t="str" cm="1">
        <f t="array" ref="C335">IFERROR(INDEX('03.Muestra'!$F$8:$F$42,SMALL(IF("Página Web"='03.Muestra'!$D$8:$D$42,ROW('03.Muestra'!$F$8:$F$42)-MIN(ROW('03.Muestra'!$D$8:$D$42))+1,""),ROW()-322)),"")</f>
        <v>https://www.crtm.es/comunicacion/actualidad-del-servicio/?idPestana=1&amp;lang=es</v>
      </c>
      <c r="D335" s="130" t="s">
        <v>25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Galería de fotos</v>
      </c>
      <c r="C336" s="114" t="str" cm="1">
        <f t="array" ref="C336">IFERROR(INDEX('03.Muestra'!$F$8:$F$42,SMALL(IF("Página Web"='03.Muestra'!$D$8:$D$42,ROW('03.Muestra'!$F$8:$F$42)-MIN(ROW('03.Muestra'!$D$8:$D$42))+1,""),ROW()-322)),"")</f>
        <v>https://www.crtm.es/comunicacion/multimedia/galeria-de-fotos/</v>
      </c>
      <c r="D336" s="130" t="s">
        <v>25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Mapa web</v>
      </c>
      <c r="C337" s="114" t="str" cm="1">
        <f t="array" ref="C337">IFERROR(INDEX('03.Muestra'!$F$8:$F$42,SMALL(IF("Página Web"='03.Muestra'!$D$8:$D$42,ROW('03.Muestra'!$F$8:$F$42)-MIN(ROW('03.Muestra'!$D$8:$D$42))+1,""),ROW()-322)),"")</f>
        <v>https://www.crtm.es/mapa-web</v>
      </c>
      <c r="D337" s="130" t="s">
        <v>25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Protección de datos</v>
      </c>
      <c r="C338" s="114" t="str" cm="1">
        <f t="array" ref="C338">IFERROR(INDEX('03.Muestra'!$F$8:$F$42,SMALL(IF("Página Web"='03.Muestra'!$D$8:$D$42,ROW('03.Muestra'!$F$8:$F$42)-MIN(ROW('03.Muestra'!$D$8:$D$42))+1,""),ROW()-322)),"")</f>
        <v>https://www.crtm.es/proteccion-de-datos</v>
      </c>
      <c r="D338" s="130" t="s">
        <v>25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Política de cookies</v>
      </c>
      <c r="C339" s="114" t="str" cm="1">
        <f t="array" ref="C339">IFERROR(INDEX('03.Muestra'!$F$8:$F$42,SMALL(IF("Página Web"='03.Muestra'!$D$8:$D$42,ROW('03.Muestra'!$F$8:$F$42)-MIN(ROW('03.Muestra'!$D$8:$D$42))+1,""),ROW()-322)),"")</f>
        <v>https://www.crtm.es/politica-de-cookies</v>
      </c>
      <c r="D339" s="130" t="s">
        <v>25</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Aviso Legal</v>
      </c>
      <c r="C340" s="114" t="str" cm="1">
        <f t="array" ref="C340">IFERROR(INDEX('03.Muestra'!$F$8:$F$42,SMALL(IF("Página Web"='03.Muestra'!$D$8:$D$42,ROW('03.Muestra'!$F$8:$F$42)-MIN(ROW('03.Muestra'!$D$8:$D$42))+1,""),ROW()-322)),"")</f>
        <v>https://www.crtm.es/aviso-legal</v>
      </c>
      <c r="D340" s="130" t="s">
        <v>25</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Normativa</v>
      </c>
      <c r="C341" s="114" t="str" cm="1">
        <f t="array" ref="C341">IFERROR(INDEX('03.Muestra'!$F$8:$F$42,SMALL(IF("Página Web"='03.Muestra'!$D$8:$D$42,ROW('03.Muestra'!$F$8:$F$42)-MIN(ROW('03.Muestra'!$D$8:$D$42))+1,""),ROW()-322)),"")</f>
        <v>https://www.crtm.es/normativa</v>
      </c>
      <c r="D341" s="130" t="s">
        <v>25</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Accesibilidad</v>
      </c>
      <c r="C342" s="114" t="str" cm="1">
        <f t="array" ref="C342">IFERROR(INDEX('03.Muestra'!$F$8:$F$42,SMALL(IF("Página Web"='03.Muestra'!$D$8:$D$42,ROW('03.Muestra'!$F$8:$F$42)-MIN(ROW('03.Muestra'!$D$8:$D$42))+1,""),ROW()-322)),"")</f>
        <v>https://www.crtm.es/accesibilidad</v>
      </c>
      <c r="D342" s="130" t="s">
        <v>25</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cm="1">
        <f t="array" ref="A343">IFERROR(INDEX('03.Muestra'!$B$8:$B$42,SMALL(IF("Página Web"='03.Muestra'!$D$8:$D$42,ROW('03.Muestra'!$B$8:$B$42)-MIN(ROW('03.Muestra'!$D$8:$D$42))+1,""),ROW()-322)),"")</f>
        <v>21</v>
      </c>
      <c r="B343" s="114" t="str" cm="1">
        <f t="array" ref="B343">IFERROR(INDEX('03.Muestra'!$C$8:$C$42,SMALL(IF("Página Web"='03.Muestra'!$D$8:$D$42,ROW('03.Muestra'!$C$8:$C$42)-MIN(ROW('03.Muestra'!$D$8:$D$42))+1,""),ROW()-322)),"")</f>
        <v>Modo accesible</v>
      </c>
      <c r="C343" s="114" t="str" cm="1">
        <f t="array" ref="C343">IFERROR(INDEX('03.Muestra'!$F$8:$F$42,SMALL(IF("Página Web"='03.Muestra'!$D$8:$D$42,ROW('03.Muestra'!$F$8:$F$42)-MIN(ROW('03.Muestra'!$D$8:$D$42))+1,""),ROW()-322)),"")</f>
        <v>https://www.crtm.es/</v>
      </c>
      <c r="D343" s="130" t="s">
        <v>25</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ref="D344:D357" si="17">IF(AND(B344&lt;&gt;"",C344&lt;&gt;""),"N/T","")</f>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https://www.crtm.es/</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Red de metro</v>
      </c>
      <c r="C362" s="114" t="str" cm="1">
        <f t="array" ref="C362">IFERROR(INDEX('03.Muestra'!$F$8:$F$42,SMALL(IF("Página Web"='03.Muestra'!$D$8:$D$42,ROW('03.Muestra'!$F$8:$F$42)-MIN(ROW('03.Muestra'!$D$8:$D$42))+1,""),ROW()-360)),"")</f>
        <v>https://www.crtm.es/tu-transporte-publico/metro/</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21</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Líneas de metro</v>
      </c>
      <c r="C363" s="114" t="str" cm="1">
        <f t="array" ref="C363">IFERROR(INDEX('03.Muestra'!$F$8:$F$42,SMALL(IF("Página Web"='03.Muestra'!$D$8:$D$42,ROW('03.Muestra'!$F$8:$F$42)-MIN(ROW('03.Muestra'!$D$8:$D$42))+1,""),ROW()-360)),"")</f>
        <v>https://www.crtm.es/tu-transporte-publico/metro/lineas/4__1___</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Estaciones Aeropuerto T1-T2-T3</v>
      </c>
      <c r="C364" s="114" t="str" cm="1">
        <f t="array" ref="C364">IFERROR(INDEX('03.Muestra'!$F$8:$F$42,SMALL(IF("Página Web"='03.Muestra'!$D$8:$D$42,ROW('03.Muestra'!$F$8:$F$42)-MIN(ROW('03.Muestra'!$D$8:$D$42))+1,""),ROW()-360)),"")</f>
        <v>https://www.crtm.es/tu-transporte-publico/metro/estaciones/4_159</v>
      </c>
      <c r="D364" s="130" t="s">
        <v>34</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Muévete por Madrid</v>
      </c>
      <c r="C365" s="114" t="str" cm="1">
        <f t="array" ref="C365">IFERROR(INDEX('03.Muestra'!$F$8:$F$42,SMALL(IF("Página Web"='03.Muestra'!$D$8:$D$42,ROW('03.Muestra'!$F$8:$F$42)-MIN(ROW('03.Muestra'!$D$8:$D$42))+1,""),ROW()-360)),"")</f>
        <v>https://www.crtm.es/muevete-por-madrid/</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conexiones con aeropuerto y principales estaciones</v>
      </c>
      <c r="C366" s="114" t="str" cm="1">
        <f t="array" ref="C366">IFERROR(INDEX('03.Muestra'!$F$8:$F$42,SMALL(IF("Página Web"='03.Muestra'!$D$8:$D$42,ROW('03.Muestra'!$F$8:$F$42)-MIN(ROW('03.Muestra'!$D$8:$D$42))+1,""),ROW()-360)),"")</f>
        <v xml:space="preserve">https://www.crtm.es/muevete-por-madrid/conexiones-con-aeropuerto-y-principales-estaciones/ </v>
      </c>
      <c r="D366" s="130" t="s">
        <v>34</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Atención desplazados Ucranianos</v>
      </c>
      <c r="C367" s="114" t="str" cm="1">
        <f t="array" ref="C367">IFERROR(INDEX('03.Muestra'!$F$8:$F$42,SMALL(IF("Página Web"='03.Muestra'!$D$8:$D$42,ROW('03.Muestra'!$F$8:$F$42)-MIN(ROW('03.Muestra'!$D$8:$D$42))+1,""),ROW()-360)),"")</f>
        <v>https://www.crtm.es/atencion-desplazados-ucranianos/#item3</v>
      </c>
      <c r="D367" s="130" t="s">
        <v>34</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Preguntas frecuentes (Tarjeta transporte público personal)</v>
      </c>
      <c r="C368" s="114" t="str" cm="1">
        <f t="array" ref="C368">IFERROR(INDEX('03.Muestra'!$F$8:$F$42,SMALL(IF("Página Web"='03.Muestra'!$D$8:$D$42,ROW('03.Muestra'!$F$8:$F$42)-MIN(ROW('03.Muestra'!$D$8:$D$42))+1,""),ROW()-360)),"")</f>
        <v xml:space="preserve"> https://www.crtm.es/billetes-y-tarifas/tarjeta-transporte-publico/preguntas-frecuentes/#item23</v>
      </c>
      <c r="D368" s="130" t="s">
        <v>34</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Billetes y abonos (Metro)</v>
      </c>
      <c r="C369" s="114" t="str" cm="1">
        <f t="array" ref="C369">IFERROR(INDEX('03.Muestra'!$F$8:$F$42,SMALL(IF("Página Web"='03.Muestra'!$D$8:$D$42,ROW('03.Muestra'!$F$8:$F$42)-MIN(ROW('03.Muestra'!$D$8:$D$42))+1,""),ROW()-360)),"")</f>
        <v>https://www.crtm.es/billetes-y-tarifas/billetes-y-abonos/metro/?idPestana=1&amp;lang=#item10</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Billetes y tarifas (App)</v>
      </c>
      <c r="C370" s="114" t="str" cm="1">
        <f t="array" ref="C370">IFERROR(INDEX('03.Muestra'!$F$8:$F$42,SMALL(IF("Página Web"='03.Muestra'!$D$8:$D$42,ROW('03.Muestra'!$F$8:$F$42)-MIN(ROW('03.Muestra'!$D$8:$D$42))+1,""),ROW()-360)),"")</f>
        <v>https://www.crtm.es/billetes-y-tarifas/apps/</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Atención al cliente</v>
      </c>
      <c r="C371" s="114" t="str" cm="1">
        <f t="array" ref="C371">IFERROR(INDEX('03.Muestra'!$F$8:$F$42,SMALL(IF("Página Web"='03.Muestra'!$D$8:$D$42,ROW('03.Muestra'!$F$8:$F$42)-MIN(ROW('03.Muestra'!$D$8:$D$42))+1,""),ROW()-360)),"")</f>
        <v>https://www.crtm.es/atencion-al-cliente/</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Conócenos</v>
      </c>
      <c r="C372" s="114" t="str" cm="1">
        <f t="array" ref="C372">IFERROR(INDEX('03.Muestra'!$F$8:$F$42,SMALL(IF("Página Web"='03.Muestra'!$D$8:$D$42,ROW('03.Muestra'!$F$8:$F$42)-MIN(ROW('03.Muestra'!$D$8:$D$42))+1,""),ROW()-360)),"")</f>
        <v>https://www.crtm.es/conocenos/#CentrodeDocumentacion</v>
      </c>
      <c r="D372" s="130" t="s">
        <v>34</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Actualidad del servicio</v>
      </c>
      <c r="C373" s="114" t="str" cm="1">
        <f t="array" ref="C373">IFERROR(INDEX('03.Muestra'!$F$8:$F$42,SMALL(IF("Página Web"='03.Muestra'!$D$8:$D$42,ROW('03.Muestra'!$F$8:$F$42)-MIN(ROW('03.Muestra'!$D$8:$D$42))+1,""),ROW()-360)),"")</f>
        <v>https://www.crtm.es/comunicacion/actualidad-del-servicio/?idPestana=1&amp;lang=es</v>
      </c>
      <c r="D373" s="130" t="s">
        <v>34</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Galería de fotos</v>
      </c>
      <c r="C374" s="114" t="str" cm="1">
        <f t="array" ref="C374">IFERROR(INDEX('03.Muestra'!$F$8:$F$42,SMALL(IF("Página Web"='03.Muestra'!$D$8:$D$42,ROW('03.Muestra'!$F$8:$F$42)-MIN(ROW('03.Muestra'!$D$8:$D$42))+1,""),ROW()-360)),"")</f>
        <v>https://www.crtm.es/comunicacion/multimedia/galeria-de-fotos/</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Mapa web</v>
      </c>
      <c r="C375" s="114" t="str" cm="1">
        <f t="array" ref="C375">IFERROR(INDEX('03.Muestra'!$F$8:$F$42,SMALL(IF("Página Web"='03.Muestra'!$D$8:$D$42,ROW('03.Muestra'!$F$8:$F$42)-MIN(ROW('03.Muestra'!$D$8:$D$42))+1,""),ROW()-360)),"")</f>
        <v>https://www.crtm.es/mapa-web</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Protección de datos</v>
      </c>
      <c r="C376" s="114" t="str" cm="1">
        <f t="array" ref="C376">IFERROR(INDEX('03.Muestra'!$F$8:$F$42,SMALL(IF("Página Web"='03.Muestra'!$D$8:$D$42,ROW('03.Muestra'!$F$8:$F$42)-MIN(ROW('03.Muestra'!$D$8:$D$42))+1,""),ROW()-360)),"")</f>
        <v>https://www.crtm.es/proteccion-de-datos</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Política de cookies</v>
      </c>
      <c r="C377" s="114" t="str" cm="1">
        <f t="array" ref="C377">IFERROR(INDEX('03.Muestra'!$F$8:$F$42,SMALL(IF("Página Web"='03.Muestra'!$D$8:$D$42,ROW('03.Muestra'!$F$8:$F$42)-MIN(ROW('03.Muestra'!$D$8:$D$42))+1,""),ROW()-360)),"")</f>
        <v>https://www.crtm.es/politica-de-cookies</v>
      </c>
      <c r="D377" s="130" t="s">
        <v>34</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Aviso Legal</v>
      </c>
      <c r="C378" s="114" t="str" cm="1">
        <f t="array" ref="C378">IFERROR(INDEX('03.Muestra'!$F$8:$F$42,SMALL(IF("Página Web"='03.Muestra'!$D$8:$D$42,ROW('03.Muestra'!$F$8:$F$42)-MIN(ROW('03.Muestra'!$D$8:$D$42))+1,""),ROW()-360)),"")</f>
        <v>https://www.crtm.es/aviso-legal</v>
      </c>
      <c r="D378" s="130" t="s">
        <v>34</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Normativa</v>
      </c>
      <c r="C379" s="114" t="str" cm="1">
        <f t="array" ref="C379">IFERROR(INDEX('03.Muestra'!$F$8:$F$42,SMALL(IF("Página Web"='03.Muestra'!$D$8:$D$42,ROW('03.Muestra'!$F$8:$F$42)-MIN(ROW('03.Muestra'!$D$8:$D$42))+1,""),ROW()-360)),"")</f>
        <v>https://www.crtm.es/normativa</v>
      </c>
      <c r="D379" s="130" t="s">
        <v>34</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Accesibilidad</v>
      </c>
      <c r="C380" s="114" t="str" cm="1">
        <f t="array" ref="C380">IFERROR(INDEX('03.Muestra'!$F$8:$F$42,SMALL(IF("Página Web"='03.Muestra'!$D$8:$D$42,ROW('03.Muestra'!$F$8:$F$42)-MIN(ROW('03.Muestra'!$D$8:$D$42))+1,""),ROW()-360)),"")</f>
        <v>https://www.crtm.es/accesibilidad</v>
      </c>
      <c r="D380" s="130" t="s">
        <v>34</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cm="1">
        <f t="array" ref="A381">IFERROR(INDEX('03.Muestra'!$B$8:$B$42,SMALL(IF("Página Web"='03.Muestra'!$D$8:$D$42,ROW('03.Muestra'!$B$8:$B$42)-MIN(ROW('03.Muestra'!$D$8:$D$42))+1,""),ROW()-360)),"")</f>
        <v>21</v>
      </c>
      <c r="B381" s="114" t="str" cm="1">
        <f t="array" ref="B381">IFERROR(INDEX('03.Muestra'!$C$8:$C$42,SMALL(IF("Página Web"='03.Muestra'!$D$8:$D$42,ROW('03.Muestra'!$C$8:$C$42)-MIN(ROW('03.Muestra'!$D$8:$D$42))+1,""),ROW()-360)),"")</f>
        <v>Modo accesible</v>
      </c>
      <c r="C381" s="114" t="str" cm="1">
        <f t="array" ref="C381">IFERROR(INDEX('03.Muestra'!$F$8:$F$42,SMALL(IF("Página Web"='03.Muestra'!$D$8:$D$42,ROW('03.Muestra'!$F$8:$F$42)-MIN(ROW('03.Muestra'!$D$8:$D$42))+1,""),ROW()-360)),"")</f>
        <v>https://www.crtm.es/</v>
      </c>
      <c r="D381" s="130" t="s">
        <v>34</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ref="D382:D395" si="19">IF(AND(B382&lt;&gt;"",C382&lt;&gt;""),"N/T","")</f>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https://www.crtm.es/</v>
      </c>
      <c r="D399" s="130" t="s">
        <v>27</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Red de metro</v>
      </c>
      <c r="C400" s="114" t="str" cm="1">
        <f t="array" ref="C400">IFERROR(INDEX('03.Muestra'!$F$8:$F$42,SMALL(IF("Página Web"='03.Muestra'!$D$8:$D$42,ROW('03.Muestra'!$F$8:$F$42)-MIN(ROW('03.Muestra'!$D$8:$D$42))+1,""),ROW()-398)),"")</f>
        <v>https://www.crtm.es/tu-transporte-publico/metro/</v>
      </c>
      <c r="D400" s="130" t="s">
        <v>25</v>
      </c>
      <c r="E400" s="107" t="str">
        <f t="shared" si="20"/>
        <v/>
      </c>
      <c r="F400" s="120">
        <f ca="1">COUNTIF($D399:INDIRECT("$D" &amp;  SUM(ROW()-1,'03.Muestra'!$D$45)-1),F399)</f>
        <v>0</v>
      </c>
      <c r="G400" s="120">
        <f ca="1">COUNTIF($D399:INDIRECT("$D" &amp;  SUM(ROW()-1,'03.Muestra'!$D$45)-1),G399)</f>
        <v>0</v>
      </c>
      <c r="H400" s="120">
        <f ca="1">COUNTIF($D399:INDIRECT("$D" &amp;  SUM(ROW()-1,'03.Muestra'!$D$45)-1),H399)</f>
        <v>1</v>
      </c>
      <c r="I400" s="120">
        <f ca="1">COUNTIF($D399:INDIRECT("$D" &amp;  SUM(ROW()-1,'03.Muestra'!$D$45)-1),I399)</f>
        <v>10</v>
      </c>
      <c r="J400" s="120">
        <f ca="1">COUNTIF($D399:INDIRECT("$D" &amp;  SUM(ROW()-1,'03.Muestra'!$D$45)-1),J399)</f>
        <v>10</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Líneas de metro</v>
      </c>
      <c r="C401" s="114" t="str" cm="1">
        <f t="array" ref="C401">IFERROR(INDEX('03.Muestra'!$F$8:$F$42,SMALL(IF("Página Web"='03.Muestra'!$D$8:$D$42,ROW('03.Muestra'!$F$8:$F$42)-MIN(ROW('03.Muestra'!$D$8:$D$42))+1,""),ROW()-398)),"")</f>
        <v>https://www.crtm.es/tu-transporte-publico/metro/lineas/4__1___</v>
      </c>
      <c r="D401" s="130" t="s">
        <v>25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Estaciones Aeropuerto T1-T2-T3</v>
      </c>
      <c r="C402" s="114" t="str" cm="1">
        <f t="array" ref="C402">IFERROR(INDEX('03.Muestra'!$F$8:$F$42,SMALL(IF("Página Web"='03.Muestra'!$D$8:$D$42,ROW('03.Muestra'!$F$8:$F$42)-MIN(ROW('03.Muestra'!$D$8:$D$42))+1,""),ROW()-398)),"")</f>
        <v>https://www.crtm.es/tu-transporte-publico/metro/estaciones/4_159</v>
      </c>
      <c r="D402" s="130" t="s">
        <v>25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Muévete por Madrid</v>
      </c>
      <c r="C403" s="114" t="str" cm="1">
        <f t="array" ref="C403">IFERROR(INDEX('03.Muestra'!$F$8:$F$42,SMALL(IF("Página Web"='03.Muestra'!$D$8:$D$42,ROW('03.Muestra'!$F$8:$F$42)-MIN(ROW('03.Muestra'!$D$8:$D$42))+1,""),ROW()-398)),"")</f>
        <v>https://www.crtm.es/muevete-por-madrid/</v>
      </c>
      <c r="D403" s="130" t="s">
        <v>25</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conexiones con aeropuerto y principales estaciones</v>
      </c>
      <c r="C404" s="114" t="str" cm="1">
        <f t="array" ref="C404">IFERROR(INDEX('03.Muestra'!$F$8:$F$42,SMALL(IF("Página Web"='03.Muestra'!$D$8:$D$42,ROW('03.Muestra'!$F$8:$F$42)-MIN(ROW('03.Muestra'!$D$8:$D$42))+1,""),ROW()-398)),"")</f>
        <v xml:space="preserve">https://www.crtm.es/muevete-por-madrid/conexiones-con-aeropuerto-y-principales-estaciones/ </v>
      </c>
      <c r="D404" s="130" t="s">
        <v>25</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Atención desplazados Ucranianos</v>
      </c>
      <c r="C405" s="114" t="str" cm="1">
        <f t="array" ref="C405">IFERROR(INDEX('03.Muestra'!$F$8:$F$42,SMALL(IF("Página Web"='03.Muestra'!$D$8:$D$42,ROW('03.Muestra'!$F$8:$F$42)-MIN(ROW('03.Muestra'!$D$8:$D$42))+1,""),ROW()-398)),"")</f>
        <v>https://www.crtm.es/atencion-desplazados-ucranianos/#item3</v>
      </c>
      <c r="D405" s="130" t="s">
        <v>27</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Preguntas frecuentes (Tarjeta transporte público personal)</v>
      </c>
      <c r="C406" s="114" t="str" cm="1">
        <f t="array" ref="C406">IFERROR(INDEX('03.Muestra'!$F$8:$F$42,SMALL(IF("Página Web"='03.Muestra'!$D$8:$D$42,ROW('03.Muestra'!$F$8:$F$42)-MIN(ROW('03.Muestra'!$D$8:$D$42))+1,""),ROW()-398)),"")</f>
        <v xml:space="preserve"> https://www.crtm.es/billetes-y-tarifas/tarjeta-transporte-publico/preguntas-frecuentes/#item23</v>
      </c>
      <c r="D406" s="130" t="s">
        <v>27</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Billetes y abonos (Metro)</v>
      </c>
      <c r="C407" s="114" t="str" cm="1">
        <f t="array" ref="C407">IFERROR(INDEX('03.Muestra'!$F$8:$F$42,SMALL(IF("Página Web"='03.Muestra'!$D$8:$D$42,ROW('03.Muestra'!$F$8:$F$42)-MIN(ROW('03.Muestra'!$D$8:$D$42))+1,""),ROW()-398)),"")</f>
        <v>https://www.crtm.es/billetes-y-tarifas/billetes-y-abonos/metro/?idPestana=1&amp;lang=#item10</v>
      </c>
      <c r="D407" s="130" t="s">
        <v>27</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Billetes y tarifas (App)</v>
      </c>
      <c r="C408" s="114" t="str" cm="1">
        <f t="array" ref="C408">IFERROR(INDEX('03.Muestra'!$F$8:$F$42,SMALL(IF("Página Web"='03.Muestra'!$D$8:$D$42,ROW('03.Muestra'!$F$8:$F$42)-MIN(ROW('03.Muestra'!$D$8:$D$42))+1,""),ROW()-398)),"")</f>
        <v>https://www.crtm.es/billetes-y-tarifas/apps/</v>
      </c>
      <c r="D408" s="130" t="s">
        <v>25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Atención al cliente</v>
      </c>
      <c r="C409" s="114" t="str" cm="1">
        <f t="array" ref="C409">IFERROR(INDEX('03.Muestra'!$F$8:$F$42,SMALL(IF("Página Web"='03.Muestra'!$D$8:$D$42,ROW('03.Muestra'!$F$8:$F$42)-MIN(ROW('03.Muestra'!$D$8:$D$42))+1,""),ROW()-398)),"")</f>
        <v>https://www.crtm.es/atencion-al-cliente/</v>
      </c>
      <c r="D409" s="130" t="s">
        <v>27</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Conócenos</v>
      </c>
      <c r="C410" s="114" t="str" cm="1">
        <f t="array" ref="C410">IFERROR(INDEX('03.Muestra'!$F$8:$F$42,SMALL(IF("Página Web"='03.Muestra'!$D$8:$D$42,ROW('03.Muestra'!$F$8:$F$42)-MIN(ROW('03.Muestra'!$D$8:$D$42))+1,""),ROW()-398)),"")</f>
        <v>https://www.crtm.es/conocenos/#CentrodeDocumentacion</v>
      </c>
      <c r="D410" s="130" t="s">
        <v>27</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Actualidad del servicio</v>
      </c>
      <c r="C411" s="114" t="str" cm="1">
        <f t="array" ref="C411">IFERROR(INDEX('03.Muestra'!$F$8:$F$42,SMALL(IF("Página Web"='03.Muestra'!$D$8:$D$42,ROW('03.Muestra'!$F$8:$F$42)-MIN(ROW('03.Muestra'!$D$8:$D$42))+1,""),ROW()-398)),"")</f>
        <v>https://www.crtm.es/comunicacion/actualidad-del-servicio/?idPestana=1&amp;lang=es</v>
      </c>
      <c r="D411" s="130" t="s">
        <v>25</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Galería de fotos</v>
      </c>
      <c r="C412" s="114" t="str" cm="1">
        <f t="array" ref="C412">IFERROR(INDEX('03.Muestra'!$F$8:$F$42,SMALL(IF("Página Web"='03.Muestra'!$D$8:$D$42,ROW('03.Muestra'!$F$8:$F$42)-MIN(ROW('03.Muestra'!$D$8:$D$42))+1,""),ROW()-398)),"")</f>
        <v>https://www.crtm.es/comunicacion/multimedia/galeria-de-fotos/</v>
      </c>
      <c r="D412" s="130" t="s">
        <v>25</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Mapa web</v>
      </c>
      <c r="C413" s="114" t="str" cm="1">
        <f t="array" ref="C413">IFERROR(INDEX('03.Muestra'!$F$8:$F$42,SMALL(IF("Página Web"='03.Muestra'!$D$8:$D$42,ROW('03.Muestra'!$F$8:$F$42)-MIN(ROW('03.Muestra'!$D$8:$D$42))+1,""),ROW()-398)),"")</f>
        <v>https://www.crtm.es/mapa-web</v>
      </c>
      <c r="D413" s="130" t="s">
        <v>25</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Protección de datos</v>
      </c>
      <c r="C414" s="114" t="str" cm="1">
        <f t="array" ref="C414">IFERROR(INDEX('03.Muestra'!$F$8:$F$42,SMALL(IF("Página Web"='03.Muestra'!$D$8:$D$42,ROW('03.Muestra'!$F$8:$F$42)-MIN(ROW('03.Muestra'!$D$8:$D$42))+1,""),ROW()-398)),"")</f>
        <v>https://www.crtm.es/proteccion-de-datos</v>
      </c>
      <c r="D414" s="130" t="s">
        <v>27</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Política de cookies</v>
      </c>
      <c r="C415" s="114" t="str" cm="1">
        <f t="array" ref="C415">IFERROR(INDEX('03.Muestra'!$F$8:$F$42,SMALL(IF("Página Web"='03.Muestra'!$D$8:$D$42,ROW('03.Muestra'!$F$8:$F$42)-MIN(ROW('03.Muestra'!$D$8:$D$42))+1,""),ROW()-398)),"")</f>
        <v>https://www.crtm.es/politica-de-cookies</v>
      </c>
      <c r="D415" s="130" t="s">
        <v>27</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Aviso Legal</v>
      </c>
      <c r="C416" s="114" t="str" cm="1">
        <f t="array" ref="C416">IFERROR(INDEX('03.Muestra'!$F$8:$F$42,SMALL(IF("Página Web"='03.Muestra'!$D$8:$D$42,ROW('03.Muestra'!$F$8:$F$42)-MIN(ROW('03.Muestra'!$D$8:$D$42))+1,""),ROW()-398)),"")</f>
        <v>https://www.crtm.es/aviso-legal</v>
      </c>
      <c r="D416" s="130" t="s">
        <v>27</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Normativa</v>
      </c>
      <c r="C417" s="114" t="str" cm="1">
        <f t="array" ref="C417">IFERROR(INDEX('03.Muestra'!$F$8:$F$42,SMALL(IF("Página Web"='03.Muestra'!$D$8:$D$42,ROW('03.Muestra'!$F$8:$F$42)-MIN(ROW('03.Muestra'!$D$8:$D$42))+1,""),ROW()-398)),"")</f>
        <v>https://www.crtm.es/normativa</v>
      </c>
      <c r="D417" s="130" t="s">
        <v>25</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Accesibilidad</v>
      </c>
      <c r="C418" s="114" t="str" cm="1">
        <f t="array" ref="C418">IFERROR(INDEX('03.Muestra'!$F$8:$F$42,SMALL(IF("Página Web"='03.Muestra'!$D$8:$D$42,ROW('03.Muestra'!$F$8:$F$42)-MIN(ROW('03.Muestra'!$D$8:$D$42))+1,""),ROW()-398)),"")</f>
        <v>https://www.crtm.es/accesibilidad</v>
      </c>
      <c r="D418" s="130" t="s">
        <v>27</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cm="1">
        <f t="array" ref="A419">IFERROR(INDEX('03.Muestra'!$B$8:$B$42,SMALL(IF("Página Web"='03.Muestra'!$D$8:$D$42,ROW('03.Muestra'!$B$8:$B$42)-MIN(ROW('03.Muestra'!$D$8:$D$42))+1,""),ROW()-398)),"")</f>
        <v>21</v>
      </c>
      <c r="B419" s="114" t="str" cm="1">
        <f t="array" ref="B419">IFERROR(INDEX('03.Muestra'!$C$8:$C$42,SMALL(IF("Página Web"='03.Muestra'!$D$8:$D$42,ROW('03.Muestra'!$C$8:$C$42)-MIN(ROW('03.Muestra'!$D$8:$D$42))+1,""),ROW()-398)),"")</f>
        <v>Modo accesible</v>
      </c>
      <c r="C419" s="114" t="str" cm="1">
        <f t="array" ref="C419">IFERROR(INDEX('03.Muestra'!$F$8:$F$42,SMALL(IF("Página Web"='03.Muestra'!$D$8:$D$42,ROW('03.Muestra'!$F$8:$F$42)-MIN(ROW('03.Muestra'!$D$8:$D$42))+1,""),ROW()-398)),"")</f>
        <v>https://www.crtm.es/</v>
      </c>
      <c r="D419" s="130" t="s">
        <v>34</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ref="D420:D433" si="21">IF(AND(B420&lt;&gt;"",C420&lt;&gt;""),"N/T","")</f>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https://www.crtm.es/</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Red de metro</v>
      </c>
      <c r="C438" s="114" t="str" cm="1">
        <f t="array" ref="C438">IFERROR(INDEX('03.Muestra'!$F$8:$F$42,SMALL(IF("Página Web"='03.Muestra'!$D$8:$D$42,ROW('03.Muestra'!$F$8:$F$42)-MIN(ROW('03.Muestra'!$D$8:$D$42))+1,""),ROW()-436)),"")</f>
        <v>https://www.crtm.es/tu-transporte-publico/metro/</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21</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Líneas de metro</v>
      </c>
      <c r="C439" s="114" t="str" cm="1">
        <f t="array" ref="C439">IFERROR(INDEX('03.Muestra'!$F$8:$F$42,SMALL(IF("Página Web"='03.Muestra'!$D$8:$D$42,ROW('03.Muestra'!$F$8:$F$42)-MIN(ROW('03.Muestra'!$D$8:$D$42))+1,""),ROW()-436)),"")</f>
        <v>https://www.crtm.es/tu-transporte-publico/metro/lineas/4__1___</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Estaciones Aeropuerto T1-T2-T3</v>
      </c>
      <c r="C440" s="114" t="str" cm="1">
        <f t="array" ref="C440">IFERROR(INDEX('03.Muestra'!$F$8:$F$42,SMALL(IF("Página Web"='03.Muestra'!$D$8:$D$42,ROW('03.Muestra'!$F$8:$F$42)-MIN(ROW('03.Muestra'!$D$8:$D$42))+1,""),ROW()-436)),"")</f>
        <v>https://www.crtm.es/tu-transporte-publico/metro/estaciones/4_159</v>
      </c>
      <c r="D440" s="130" t="s">
        <v>34</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Muévete por Madrid</v>
      </c>
      <c r="C441" s="114" t="str" cm="1">
        <f t="array" ref="C441">IFERROR(INDEX('03.Muestra'!$F$8:$F$42,SMALL(IF("Página Web"='03.Muestra'!$D$8:$D$42,ROW('03.Muestra'!$F$8:$F$42)-MIN(ROW('03.Muestra'!$D$8:$D$42))+1,""),ROW()-436)),"")</f>
        <v>https://www.crtm.es/muevete-por-madrid/</v>
      </c>
      <c r="D441" s="130" t="s">
        <v>34</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conexiones con aeropuerto y principales estaciones</v>
      </c>
      <c r="C442" s="114" t="str" cm="1">
        <f t="array" ref="C442">IFERROR(INDEX('03.Muestra'!$F$8:$F$42,SMALL(IF("Página Web"='03.Muestra'!$D$8:$D$42,ROW('03.Muestra'!$F$8:$F$42)-MIN(ROW('03.Muestra'!$D$8:$D$42))+1,""),ROW()-436)),"")</f>
        <v xml:space="preserve">https://www.crtm.es/muevete-por-madrid/conexiones-con-aeropuerto-y-principales-estaciones/ </v>
      </c>
      <c r="D442" s="130" t="s">
        <v>34</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Atención desplazados Ucranianos</v>
      </c>
      <c r="C443" s="114" t="str" cm="1">
        <f t="array" ref="C443">IFERROR(INDEX('03.Muestra'!$F$8:$F$42,SMALL(IF("Página Web"='03.Muestra'!$D$8:$D$42,ROW('03.Muestra'!$F$8:$F$42)-MIN(ROW('03.Muestra'!$D$8:$D$42))+1,""),ROW()-436)),"")</f>
        <v>https://www.crtm.es/atencion-desplazados-ucranianos/#item3</v>
      </c>
      <c r="D443" s="130" t="s">
        <v>34</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Preguntas frecuentes (Tarjeta transporte público personal)</v>
      </c>
      <c r="C444" s="114" t="str" cm="1">
        <f t="array" ref="C444">IFERROR(INDEX('03.Muestra'!$F$8:$F$42,SMALL(IF("Página Web"='03.Muestra'!$D$8:$D$42,ROW('03.Muestra'!$F$8:$F$42)-MIN(ROW('03.Muestra'!$D$8:$D$42))+1,""),ROW()-436)),"")</f>
        <v xml:space="preserve"> https://www.crtm.es/billetes-y-tarifas/tarjeta-transporte-publico/preguntas-frecuentes/#item23</v>
      </c>
      <c r="D444" s="130" t="s">
        <v>34</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Billetes y abonos (Metro)</v>
      </c>
      <c r="C445" s="114" t="str" cm="1">
        <f t="array" ref="C445">IFERROR(INDEX('03.Muestra'!$F$8:$F$42,SMALL(IF("Página Web"='03.Muestra'!$D$8:$D$42,ROW('03.Muestra'!$F$8:$F$42)-MIN(ROW('03.Muestra'!$D$8:$D$42))+1,""),ROW()-436)),"")</f>
        <v>https://www.crtm.es/billetes-y-tarifas/billetes-y-abonos/metro/?idPestana=1&amp;lang=#item10</v>
      </c>
      <c r="D445" s="130" t="s">
        <v>34</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Billetes y tarifas (App)</v>
      </c>
      <c r="C446" s="114" t="str" cm="1">
        <f t="array" ref="C446">IFERROR(INDEX('03.Muestra'!$F$8:$F$42,SMALL(IF("Página Web"='03.Muestra'!$D$8:$D$42,ROW('03.Muestra'!$F$8:$F$42)-MIN(ROW('03.Muestra'!$D$8:$D$42))+1,""),ROW()-436)),"")</f>
        <v>https://www.crtm.es/billetes-y-tarifas/apps/</v>
      </c>
      <c r="D446" s="130" t="s">
        <v>34</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Atención al cliente</v>
      </c>
      <c r="C447" s="114" t="str" cm="1">
        <f t="array" ref="C447">IFERROR(INDEX('03.Muestra'!$F$8:$F$42,SMALL(IF("Página Web"='03.Muestra'!$D$8:$D$42,ROW('03.Muestra'!$F$8:$F$42)-MIN(ROW('03.Muestra'!$D$8:$D$42))+1,""),ROW()-436)),"")</f>
        <v>https://www.crtm.es/atencion-al-cliente/</v>
      </c>
      <c r="D447" s="130" t="s">
        <v>34</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Conócenos</v>
      </c>
      <c r="C448" s="114" t="str" cm="1">
        <f t="array" ref="C448">IFERROR(INDEX('03.Muestra'!$F$8:$F$42,SMALL(IF("Página Web"='03.Muestra'!$D$8:$D$42,ROW('03.Muestra'!$F$8:$F$42)-MIN(ROW('03.Muestra'!$D$8:$D$42))+1,""),ROW()-436)),"")</f>
        <v>https://www.crtm.es/conocenos/#CentrodeDocumentacion</v>
      </c>
      <c r="D448" s="130" t="s">
        <v>34</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Actualidad del servicio</v>
      </c>
      <c r="C449" s="114" t="str" cm="1">
        <f t="array" ref="C449">IFERROR(INDEX('03.Muestra'!$F$8:$F$42,SMALL(IF("Página Web"='03.Muestra'!$D$8:$D$42,ROW('03.Muestra'!$F$8:$F$42)-MIN(ROW('03.Muestra'!$D$8:$D$42))+1,""),ROW()-436)),"")</f>
        <v>https://www.crtm.es/comunicacion/actualidad-del-servicio/?idPestana=1&amp;lang=es</v>
      </c>
      <c r="D449" s="130" t="s">
        <v>34</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Galería de fotos</v>
      </c>
      <c r="C450" s="114" t="str" cm="1">
        <f t="array" ref="C450">IFERROR(INDEX('03.Muestra'!$F$8:$F$42,SMALL(IF("Página Web"='03.Muestra'!$D$8:$D$42,ROW('03.Muestra'!$F$8:$F$42)-MIN(ROW('03.Muestra'!$D$8:$D$42))+1,""),ROW()-436)),"")</f>
        <v>https://www.crtm.es/comunicacion/multimedia/galeria-de-fotos/</v>
      </c>
      <c r="D450" s="130" t="s">
        <v>34</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Mapa web</v>
      </c>
      <c r="C451" s="114" t="str" cm="1">
        <f t="array" ref="C451">IFERROR(INDEX('03.Muestra'!$F$8:$F$42,SMALL(IF("Página Web"='03.Muestra'!$D$8:$D$42,ROW('03.Muestra'!$F$8:$F$42)-MIN(ROW('03.Muestra'!$D$8:$D$42))+1,""),ROW()-436)),"")</f>
        <v>https://www.crtm.es/mapa-web</v>
      </c>
      <c r="D451" s="130" t="s">
        <v>34</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Protección de datos</v>
      </c>
      <c r="C452" s="114" t="str" cm="1">
        <f t="array" ref="C452">IFERROR(INDEX('03.Muestra'!$F$8:$F$42,SMALL(IF("Página Web"='03.Muestra'!$D$8:$D$42,ROW('03.Muestra'!$F$8:$F$42)-MIN(ROW('03.Muestra'!$D$8:$D$42))+1,""),ROW()-436)),"")</f>
        <v>https://www.crtm.es/proteccion-de-datos</v>
      </c>
      <c r="D452" s="130" t="s">
        <v>34</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Política de cookies</v>
      </c>
      <c r="C453" s="114" t="str" cm="1">
        <f t="array" ref="C453">IFERROR(INDEX('03.Muestra'!$F$8:$F$42,SMALL(IF("Página Web"='03.Muestra'!$D$8:$D$42,ROW('03.Muestra'!$F$8:$F$42)-MIN(ROW('03.Muestra'!$D$8:$D$42))+1,""),ROW()-436)),"")</f>
        <v>https://www.crtm.es/politica-de-cookies</v>
      </c>
      <c r="D453" s="130" t="s">
        <v>34</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Aviso Legal</v>
      </c>
      <c r="C454" s="114" t="str" cm="1">
        <f t="array" ref="C454">IFERROR(INDEX('03.Muestra'!$F$8:$F$42,SMALL(IF("Página Web"='03.Muestra'!$D$8:$D$42,ROW('03.Muestra'!$F$8:$F$42)-MIN(ROW('03.Muestra'!$D$8:$D$42))+1,""),ROW()-436)),"")</f>
        <v>https://www.crtm.es/aviso-legal</v>
      </c>
      <c r="D454" s="130" t="s">
        <v>34</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Normativa</v>
      </c>
      <c r="C455" s="114" t="str" cm="1">
        <f t="array" ref="C455">IFERROR(INDEX('03.Muestra'!$F$8:$F$42,SMALL(IF("Página Web"='03.Muestra'!$D$8:$D$42,ROW('03.Muestra'!$F$8:$F$42)-MIN(ROW('03.Muestra'!$D$8:$D$42))+1,""),ROW()-436)),"")</f>
        <v>https://www.crtm.es/normativa</v>
      </c>
      <c r="D455" s="130" t="s">
        <v>34</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Accesibilidad</v>
      </c>
      <c r="C456" s="114" t="str" cm="1">
        <f t="array" ref="C456">IFERROR(INDEX('03.Muestra'!$F$8:$F$42,SMALL(IF("Página Web"='03.Muestra'!$D$8:$D$42,ROW('03.Muestra'!$F$8:$F$42)-MIN(ROW('03.Muestra'!$D$8:$D$42))+1,""),ROW()-436)),"")</f>
        <v>https://www.crtm.es/accesibilidad</v>
      </c>
      <c r="D456" s="130" t="s">
        <v>34</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cm="1">
        <f t="array" ref="A457">IFERROR(INDEX('03.Muestra'!$B$8:$B$42,SMALL(IF("Página Web"='03.Muestra'!$D$8:$D$42,ROW('03.Muestra'!$B$8:$B$42)-MIN(ROW('03.Muestra'!$D$8:$D$42))+1,""),ROW()-436)),"")</f>
        <v>21</v>
      </c>
      <c r="B457" s="114" t="str" cm="1">
        <f t="array" ref="B457">IFERROR(INDEX('03.Muestra'!$C$8:$C$42,SMALL(IF("Página Web"='03.Muestra'!$D$8:$D$42,ROW('03.Muestra'!$C$8:$C$42)-MIN(ROW('03.Muestra'!$D$8:$D$42))+1,""),ROW()-436)),"")</f>
        <v>Modo accesible</v>
      </c>
      <c r="C457" s="114" t="str" cm="1">
        <f t="array" ref="C457">IFERROR(INDEX('03.Muestra'!$F$8:$F$42,SMALL(IF("Página Web"='03.Muestra'!$D$8:$D$42,ROW('03.Muestra'!$F$8:$F$42)-MIN(ROW('03.Muestra'!$D$8:$D$42))+1,""),ROW()-436)),"")</f>
        <v>https://www.crtm.es/</v>
      </c>
      <c r="D457" s="130" t="s">
        <v>34</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ref="D458:D471" si="23">IF(AND(B458&lt;&gt;"",C458&lt;&gt;""),"N/T","")</f>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https://www.crtm.es/</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Red de metro</v>
      </c>
      <c r="C476" s="114" t="str" cm="1">
        <f t="array" ref="C476">IFERROR(INDEX('03.Muestra'!$F$8:$F$42,SMALL(IF("Página Web"='03.Muestra'!$D$8:$D$42,ROW('03.Muestra'!$F$8:$F$42)-MIN(ROW('03.Muestra'!$D$8:$D$42))+1,""),ROW()-474)),"")</f>
        <v>https://www.crtm.es/tu-transporte-publico/metro/</v>
      </c>
      <c r="D476" s="130" t="s">
        <v>25</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4</v>
      </c>
      <c r="J476" s="120">
        <f ca="1">COUNTIF($D475:INDIRECT("$D" &amp;  SUM(ROW()-1,'03.Muestra'!$D$45)-1),J475)</f>
        <v>17</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Líneas de metro</v>
      </c>
      <c r="C477" s="114" t="str" cm="1">
        <f t="array" ref="C477">IFERROR(INDEX('03.Muestra'!$F$8:$F$42,SMALL(IF("Página Web"='03.Muestra'!$D$8:$D$42,ROW('03.Muestra'!$F$8:$F$42)-MIN(ROW('03.Muestra'!$D$8:$D$42))+1,""),ROW()-474)),"")</f>
        <v>https://www.crtm.es/tu-transporte-publico/metro/lineas/4__1___</v>
      </c>
      <c r="D477" s="130" t="s">
        <v>27</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Estaciones Aeropuerto T1-T2-T3</v>
      </c>
      <c r="C478" s="114" t="str" cm="1">
        <f t="array" ref="C478">IFERROR(INDEX('03.Muestra'!$F$8:$F$42,SMALL(IF("Página Web"='03.Muestra'!$D$8:$D$42,ROW('03.Muestra'!$F$8:$F$42)-MIN(ROW('03.Muestra'!$D$8:$D$42))+1,""),ROW()-474)),"")</f>
        <v>https://www.crtm.es/tu-transporte-publico/metro/estaciones/4_159</v>
      </c>
      <c r="D478" s="130" t="s">
        <v>27</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Muévete por Madrid</v>
      </c>
      <c r="C479" s="114" t="str" cm="1">
        <f t="array" ref="C479">IFERROR(INDEX('03.Muestra'!$F$8:$F$42,SMALL(IF("Página Web"='03.Muestra'!$D$8:$D$42,ROW('03.Muestra'!$F$8:$F$42)-MIN(ROW('03.Muestra'!$D$8:$D$42))+1,""),ROW()-474)),"")</f>
        <v>https://www.crtm.es/muevete-por-madrid/</v>
      </c>
      <c r="D479" s="130" t="s">
        <v>25</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conexiones con aeropuerto y principales estaciones</v>
      </c>
      <c r="C480" s="114" t="str" cm="1">
        <f t="array" ref="C480">IFERROR(INDEX('03.Muestra'!$F$8:$F$42,SMALL(IF("Página Web"='03.Muestra'!$D$8:$D$42,ROW('03.Muestra'!$F$8:$F$42)-MIN(ROW('03.Muestra'!$D$8:$D$42))+1,""),ROW()-474)),"")</f>
        <v xml:space="preserve">https://www.crtm.es/muevete-por-madrid/conexiones-con-aeropuerto-y-principales-estaciones/ </v>
      </c>
      <c r="D480" s="130" t="s">
        <v>25</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Atención desplazados Ucranianos</v>
      </c>
      <c r="C481" s="114" t="str" cm="1">
        <f t="array" ref="C481">IFERROR(INDEX('03.Muestra'!$F$8:$F$42,SMALL(IF("Página Web"='03.Muestra'!$D$8:$D$42,ROW('03.Muestra'!$F$8:$F$42)-MIN(ROW('03.Muestra'!$D$8:$D$42))+1,""),ROW()-474)),"")</f>
        <v>https://www.crtm.es/atencion-desplazados-ucranianos/#item3</v>
      </c>
      <c r="D481" s="130" t="s">
        <v>25</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Preguntas frecuentes (Tarjeta transporte público personal)</v>
      </c>
      <c r="C482" s="114" t="str" cm="1">
        <f t="array" ref="C482">IFERROR(INDEX('03.Muestra'!$F$8:$F$42,SMALL(IF("Página Web"='03.Muestra'!$D$8:$D$42,ROW('03.Muestra'!$F$8:$F$42)-MIN(ROW('03.Muestra'!$D$8:$D$42))+1,""),ROW()-474)),"")</f>
        <v xml:space="preserve"> https://www.crtm.es/billetes-y-tarifas/tarjeta-transporte-publico/preguntas-frecuentes/#item23</v>
      </c>
      <c r="D482" s="130" t="s">
        <v>25</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Billetes y abonos (Metro)</v>
      </c>
      <c r="C483" s="114" t="str" cm="1">
        <f t="array" ref="C483">IFERROR(INDEX('03.Muestra'!$F$8:$F$42,SMALL(IF("Página Web"='03.Muestra'!$D$8:$D$42,ROW('03.Muestra'!$F$8:$F$42)-MIN(ROW('03.Muestra'!$D$8:$D$42))+1,""),ROW()-474)),"")</f>
        <v>https://www.crtm.es/billetes-y-tarifas/billetes-y-abonos/metro/?idPestana=1&amp;lang=#item10</v>
      </c>
      <c r="D483" s="130" t="s">
        <v>25</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Billetes y tarifas (App)</v>
      </c>
      <c r="C484" s="114" t="str" cm="1">
        <f t="array" ref="C484">IFERROR(INDEX('03.Muestra'!$F$8:$F$42,SMALL(IF("Página Web"='03.Muestra'!$D$8:$D$42,ROW('03.Muestra'!$F$8:$F$42)-MIN(ROW('03.Muestra'!$D$8:$D$42))+1,""),ROW()-474)),"")</f>
        <v>https://www.crtm.es/billetes-y-tarifas/apps/</v>
      </c>
      <c r="D484" s="130" t="s">
        <v>25</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Atención al cliente</v>
      </c>
      <c r="C485" s="114" t="str" cm="1">
        <f t="array" ref="C485">IFERROR(INDEX('03.Muestra'!$F$8:$F$42,SMALL(IF("Página Web"='03.Muestra'!$D$8:$D$42,ROW('03.Muestra'!$F$8:$F$42)-MIN(ROW('03.Muestra'!$D$8:$D$42))+1,""),ROW()-474)),"")</f>
        <v>https://www.crtm.es/atencion-al-cliente/</v>
      </c>
      <c r="D485" s="130" t="s">
        <v>27</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Conócenos</v>
      </c>
      <c r="C486" s="114" t="str" cm="1">
        <f t="array" ref="C486">IFERROR(INDEX('03.Muestra'!$F$8:$F$42,SMALL(IF("Página Web"='03.Muestra'!$D$8:$D$42,ROW('03.Muestra'!$F$8:$F$42)-MIN(ROW('03.Muestra'!$D$8:$D$42))+1,""),ROW()-474)),"")</f>
        <v>https://www.crtm.es/conocenos/#CentrodeDocumentacion</v>
      </c>
      <c r="D486" s="130" t="s">
        <v>27</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Actualidad del servicio</v>
      </c>
      <c r="C487" s="114" t="str" cm="1">
        <f t="array" ref="C487">IFERROR(INDEX('03.Muestra'!$F$8:$F$42,SMALL(IF("Página Web"='03.Muestra'!$D$8:$D$42,ROW('03.Muestra'!$F$8:$F$42)-MIN(ROW('03.Muestra'!$D$8:$D$42))+1,""),ROW()-474)),"")</f>
        <v>https://www.crtm.es/comunicacion/actualidad-del-servicio/?idPestana=1&amp;lang=es</v>
      </c>
      <c r="D487" s="130" t="s">
        <v>25</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Galería de fotos</v>
      </c>
      <c r="C488" s="114" t="str" cm="1">
        <f t="array" ref="C488">IFERROR(INDEX('03.Muestra'!$F$8:$F$42,SMALL(IF("Página Web"='03.Muestra'!$D$8:$D$42,ROW('03.Muestra'!$F$8:$F$42)-MIN(ROW('03.Muestra'!$D$8:$D$42))+1,""),ROW()-474)),"")</f>
        <v>https://www.crtm.es/comunicacion/multimedia/galeria-de-fotos/</v>
      </c>
      <c r="D488" s="130" t="s">
        <v>25</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Mapa web</v>
      </c>
      <c r="C489" s="114" t="str" cm="1">
        <f t="array" ref="C489">IFERROR(INDEX('03.Muestra'!$F$8:$F$42,SMALL(IF("Página Web"='03.Muestra'!$D$8:$D$42,ROW('03.Muestra'!$F$8:$F$42)-MIN(ROW('03.Muestra'!$D$8:$D$42))+1,""),ROW()-474)),"")</f>
        <v>https://www.crtm.es/mapa-web</v>
      </c>
      <c r="D489" s="130" t="s">
        <v>25</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Protección de datos</v>
      </c>
      <c r="C490" s="114" t="str" cm="1">
        <f t="array" ref="C490">IFERROR(INDEX('03.Muestra'!$F$8:$F$42,SMALL(IF("Página Web"='03.Muestra'!$D$8:$D$42,ROW('03.Muestra'!$F$8:$F$42)-MIN(ROW('03.Muestra'!$D$8:$D$42))+1,""),ROW()-474)),"")</f>
        <v>https://www.crtm.es/proteccion-de-datos</v>
      </c>
      <c r="D490" s="130" t="s">
        <v>25</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Política de cookies</v>
      </c>
      <c r="C491" s="114" t="str" cm="1">
        <f t="array" ref="C491">IFERROR(INDEX('03.Muestra'!$F$8:$F$42,SMALL(IF("Página Web"='03.Muestra'!$D$8:$D$42,ROW('03.Muestra'!$F$8:$F$42)-MIN(ROW('03.Muestra'!$D$8:$D$42))+1,""),ROW()-474)),"")</f>
        <v>https://www.crtm.es/politica-de-cookies</v>
      </c>
      <c r="D491" s="130" t="s">
        <v>25</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Aviso Legal</v>
      </c>
      <c r="C492" s="114" t="str" cm="1">
        <f t="array" ref="C492">IFERROR(INDEX('03.Muestra'!$F$8:$F$42,SMALL(IF("Página Web"='03.Muestra'!$D$8:$D$42,ROW('03.Muestra'!$F$8:$F$42)-MIN(ROW('03.Muestra'!$D$8:$D$42))+1,""),ROW()-474)),"")</f>
        <v>https://www.crtm.es/aviso-legal</v>
      </c>
      <c r="D492" s="130" t="s">
        <v>25</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Normativa</v>
      </c>
      <c r="C493" s="114" t="str" cm="1">
        <f t="array" ref="C493">IFERROR(INDEX('03.Muestra'!$F$8:$F$42,SMALL(IF("Página Web"='03.Muestra'!$D$8:$D$42,ROW('03.Muestra'!$F$8:$F$42)-MIN(ROW('03.Muestra'!$D$8:$D$42))+1,""),ROW()-474)),"")</f>
        <v>https://www.crtm.es/normativa</v>
      </c>
      <c r="D493" s="130" t="s">
        <v>25</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Accesibilidad</v>
      </c>
      <c r="C494" s="114" t="str" cm="1">
        <f t="array" ref="C494">IFERROR(INDEX('03.Muestra'!$F$8:$F$42,SMALL(IF("Página Web"='03.Muestra'!$D$8:$D$42,ROW('03.Muestra'!$F$8:$F$42)-MIN(ROW('03.Muestra'!$D$8:$D$42))+1,""),ROW()-474)),"")</f>
        <v>https://www.crtm.es/accesibilidad</v>
      </c>
      <c r="D494" s="130" t="s">
        <v>25</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cm="1">
        <f t="array" ref="A495">IFERROR(INDEX('03.Muestra'!$B$8:$B$42,SMALL(IF("Página Web"='03.Muestra'!$D$8:$D$42,ROW('03.Muestra'!$B$8:$B$42)-MIN(ROW('03.Muestra'!$D$8:$D$42))+1,""),ROW()-474)),"")</f>
        <v>21</v>
      </c>
      <c r="B495" s="114" t="str" cm="1">
        <f t="array" ref="B495">IFERROR(INDEX('03.Muestra'!$C$8:$C$42,SMALL(IF("Página Web"='03.Muestra'!$D$8:$D$42,ROW('03.Muestra'!$C$8:$C$42)-MIN(ROW('03.Muestra'!$D$8:$D$42))+1,""),ROW()-474)),"")</f>
        <v>Modo accesible</v>
      </c>
      <c r="C495" s="114" t="str" cm="1">
        <f t="array" ref="C495">IFERROR(INDEX('03.Muestra'!$F$8:$F$42,SMALL(IF("Página Web"='03.Muestra'!$D$8:$D$42,ROW('03.Muestra'!$F$8:$F$42)-MIN(ROW('03.Muestra'!$D$8:$D$42))+1,""),ROW()-474)),"")</f>
        <v>https://www.crtm.es/</v>
      </c>
      <c r="D495" s="130" t="s">
        <v>25</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ref="D496:D509" si="25">IF(AND(B496&lt;&gt;"",C496&lt;&gt;""),"N/T","")</f>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https://www.crtm.es/</v>
      </c>
      <c r="D513" s="130" t="s">
        <v>27</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Red de metro</v>
      </c>
      <c r="C514" s="114" t="str" cm="1">
        <f t="array" ref="C514">IFERROR(INDEX('03.Muestra'!$F$8:$F$42,SMALL(IF("Página Web"='03.Muestra'!$D$8:$D$42,ROW('03.Muestra'!$F$8:$F$42)-MIN(ROW('03.Muestra'!$D$8:$D$42))+1,""),ROW()-512)),"")</f>
        <v>https://www.crtm.es/tu-transporte-publico/metro/</v>
      </c>
      <c r="D514" s="130" t="s">
        <v>27</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20</v>
      </c>
      <c r="J514" s="120">
        <f ca="1">COUNTIF($D513:INDIRECT("$D" &amp;  SUM(ROW()-1,'03.Muestra'!$D$45)-1),J513)</f>
        <v>1</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Líneas de metro</v>
      </c>
      <c r="C515" s="114" t="str" cm="1">
        <f t="array" ref="C515">IFERROR(INDEX('03.Muestra'!$F$8:$F$42,SMALL(IF("Página Web"='03.Muestra'!$D$8:$D$42,ROW('03.Muestra'!$F$8:$F$42)-MIN(ROW('03.Muestra'!$D$8:$D$42))+1,""),ROW()-512)),"")</f>
        <v>https://www.crtm.es/tu-transporte-publico/metro/lineas/4__1___</v>
      </c>
      <c r="D515" s="130" t="s">
        <v>27</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Estaciones Aeropuerto T1-T2-T3</v>
      </c>
      <c r="C516" s="114" t="str" cm="1">
        <f t="array" ref="C516">IFERROR(INDEX('03.Muestra'!$F$8:$F$42,SMALL(IF("Página Web"='03.Muestra'!$D$8:$D$42,ROW('03.Muestra'!$F$8:$F$42)-MIN(ROW('03.Muestra'!$D$8:$D$42))+1,""),ROW()-512)),"")</f>
        <v>https://www.crtm.es/tu-transporte-publico/metro/estaciones/4_159</v>
      </c>
      <c r="D516" s="130" t="s">
        <v>27</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Muévete por Madrid</v>
      </c>
      <c r="C517" s="114" t="str" cm="1">
        <f t="array" ref="C517">IFERROR(INDEX('03.Muestra'!$F$8:$F$42,SMALL(IF("Página Web"='03.Muestra'!$D$8:$D$42,ROW('03.Muestra'!$F$8:$F$42)-MIN(ROW('03.Muestra'!$D$8:$D$42))+1,""),ROW()-512)),"")</f>
        <v>https://www.crtm.es/muevete-por-madrid/</v>
      </c>
      <c r="D517" s="130" t="s">
        <v>27</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conexiones con aeropuerto y principales estaciones</v>
      </c>
      <c r="C518" s="114" t="str" cm="1">
        <f t="array" ref="C518">IFERROR(INDEX('03.Muestra'!$F$8:$F$42,SMALL(IF("Página Web"='03.Muestra'!$D$8:$D$42,ROW('03.Muestra'!$F$8:$F$42)-MIN(ROW('03.Muestra'!$D$8:$D$42))+1,""),ROW()-512)),"")</f>
        <v xml:space="preserve">https://www.crtm.es/muevete-por-madrid/conexiones-con-aeropuerto-y-principales-estaciones/ </v>
      </c>
      <c r="D518" s="130" t="s">
        <v>27</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Atención desplazados Ucranianos</v>
      </c>
      <c r="C519" s="114" t="str" cm="1">
        <f t="array" ref="C519">IFERROR(INDEX('03.Muestra'!$F$8:$F$42,SMALL(IF("Página Web"='03.Muestra'!$D$8:$D$42,ROW('03.Muestra'!$F$8:$F$42)-MIN(ROW('03.Muestra'!$D$8:$D$42))+1,""),ROW()-512)),"")</f>
        <v>https://www.crtm.es/atencion-desplazados-ucranianos/#item3</v>
      </c>
      <c r="D519" s="130" t="s">
        <v>27</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Preguntas frecuentes (Tarjeta transporte público personal)</v>
      </c>
      <c r="C520" s="114" t="str" cm="1">
        <f t="array" ref="C520">IFERROR(INDEX('03.Muestra'!$F$8:$F$42,SMALL(IF("Página Web"='03.Muestra'!$D$8:$D$42,ROW('03.Muestra'!$F$8:$F$42)-MIN(ROW('03.Muestra'!$D$8:$D$42))+1,""),ROW()-512)),"")</f>
        <v xml:space="preserve"> https://www.crtm.es/billetes-y-tarifas/tarjeta-transporte-publico/preguntas-frecuentes/#item23</v>
      </c>
      <c r="D520" s="130" t="s">
        <v>27</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Billetes y abonos (Metro)</v>
      </c>
      <c r="C521" s="114" t="str" cm="1">
        <f t="array" ref="C521">IFERROR(INDEX('03.Muestra'!$F$8:$F$42,SMALL(IF("Página Web"='03.Muestra'!$D$8:$D$42,ROW('03.Muestra'!$F$8:$F$42)-MIN(ROW('03.Muestra'!$D$8:$D$42))+1,""),ROW()-512)),"")</f>
        <v>https://www.crtm.es/billetes-y-tarifas/billetes-y-abonos/metro/?idPestana=1&amp;lang=#item10</v>
      </c>
      <c r="D521" s="130" t="s">
        <v>27</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Billetes y tarifas (App)</v>
      </c>
      <c r="C522" s="114" t="str" cm="1">
        <f t="array" ref="C522">IFERROR(INDEX('03.Muestra'!$F$8:$F$42,SMALL(IF("Página Web"='03.Muestra'!$D$8:$D$42,ROW('03.Muestra'!$F$8:$F$42)-MIN(ROW('03.Muestra'!$D$8:$D$42))+1,""),ROW()-512)),"")</f>
        <v>https://www.crtm.es/billetes-y-tarifas/apps/</v>
      </c>
      <c r="D522" s="130" t="s">
        <v>27</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Atención al cliente</v>
      </c>
      <c r="C523" s="114" t="str" cm="1">
        <f t="array" ref="C523">IFERROR(INDEX('03.Muestra'!$F$8:$F$42,SMALL(IF("Página Web"='03.Muestra'!$D$8:$D$42,ROW('03.Muestra'!$F$8:$F$42)-MIN(ROW('03.Muestra'!$D$8:$D$42))+1,""),ROW()-512)),"")</f>
        <v>https://www.crtm.es/atencion-al-cliente/</v>
      </c>
      <c r="D523" s="130" t="s">
        <v>27</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Conócenos</v>
      </c>
      <c r="C524" s="114" t="str" cm="1">
        <f t="array" ref="C524">IFERROR(INDEX('03.Muestra'!$F$8:$F$42,SMALL(IF("Página Web"='03.Muestra'!$D$8:$D$42,ROW('03.Muestra'!$F$8:$F$42)-MIN(ROW('03.Muestra'!$D$8:$D$42))+1,""),ROW()-512)),"")</f>
        <v>https://www.crtm.es/conocenos/#CentrodeDocumentacion</v>
      </c>
      <c r="D524" s="130" t="s">
        <v>27</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Actualidad del servicio</v>
      </c>
      <c r="C525" s="114" t="str" cm="1">
        <f t="array" ref="C525">IFERROR(INDEX('03.Muestra'!$F$8:$F$42,SMALL(IF("Página Web"='03.Muestra'!$D$8:$D$42,ROW('03.Muestra'!$F$8:$F$42)-MIN(ROW('03.Muestra'!$D$8:$D$42))+1,""),ROW()-512)),"")</f>
        <v>https://www.crtm.es/comunicacion/actualidad-del-servicio/?idPestana=1&amp;lang=es</v>
      </c>
      <c r="D525" s="130" t="s">
        <v>27</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Galería de fotos</v>
      </c>
      <c r="C526" s="114" t="str" cm="1">
        <f t="array" ref="C526">IFERROR(INDEX('03.Muestra'!$F$8:$F$42,SMALL(IF("Página Web"='03.Muestra'!$D$8:$D$42,ROW('03.Muestra'!$F$8:$F$42)-MIN(ROW('03.Muestra'!$D$8:$D$42))+1,""),ROW()-512)),"")</f>
        <v>https://www.crtm.es/comunicacion/multimedia/galeria-de-fotos/</v>
      </c>
      <c r="D526" s="130" t="s">
        <v>27</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Mapa web</v>
      </c>
      <c r="C527" s="114" t="str" cm="1">
        <f t="array" ref="C527">IFERROR(INDEX('03.Muestra'!$F$8:$F$42,SMALL(IF("Página Web"='03.Muestra'!$D$8:$D$42,ROW('03.Muestra'!$F$8:$F$42)-MIN(ROW('03.Muestra'!$D$8:$D$42))+1,""),ROW()-512)),"")</f>
        <v>https://www.crtm.es/mapa-web</v>
      </c>
      <c r="D527" s="130" t="s">
        <v>27</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Protección de datos</v>
      </c>
      <c r="C528" s="114" t="str" cm="1">
        <f t="array" ref="C528">IFERROR(INDEX('03.Muestra'!$F$8:$F$42,SMALL(IF("Página Web"='03.Muestra'!$D$8:$D$42,ROW('03.Muestra'!$F$8:$F$42)-MIN(ROW('03.Muestra'!$D$8:$D$42))+1,""),ROW()-512)),"")</f>
        <v>https://www.crtm.es/proteccion-de-datos</v>
      </c>
      <c r="D528" s="130" t="s">
        <v>27</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Política de cookies</v>
      </c>
      <c r="C529" s="114" t="str" cm="1">
        <f t="array" ref="C529">IFERROR(INDEX('03.Muestra'!$F$8:$F$42,SMALL(IF("Página Web"='03.Muestra'!$D$8:$D$42,ROW('03.Muestra'!$F$8:$F$42)-MIN(ROW('03.Muestra'!$D$8:$D$42))+1,""),ROW()-512)),"")</f>
        <v>https://www.crtm.es/politica-de-cookies</v>
      </c>
      <c r="D529" s="130" t="s">
        <v>27</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Aviso Legal</v>
      </c>
      <c r="C530" s="114" t="str" cm="1">
        <f t="array" ref="C530">IFERROR(INDEX('03.Muestra'!$F$8:$F$42,SMALL(IF("Página Web"='03.Muestra'!$D$8:$D$42,ROW('03.Muestra'!$F$8:$F$42)-MIN(ROW('03.Muestra'!$D$8:$D$42))+1,""),ROW()-512)),"")</f>
        <v>https://www.crtm.es/aviso-legal</v>
      </c>
      <c r="D530" s="130" t="s">
        <v>27</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Normativa</v>
      </c>
      <c r="C531" s="114" t="str" cm="1">
        <f t="array" ref="C531">IFERROR(INDEX('03.Muestra'!$F$8:$F$42,SMALL(IF("Página Web"='03.Muestra'!$D$8:$D$42,ROW('03.Muestra'!$F$8:$F$42)-MIN(ROW('03.Muestra'!$D$8:$D$42))+1,""),ROW()-512)),"")</f>
        <v>https://www.crtm.es/normativa</v>
      </c>
      <c r="D531" s="130" t="s">
        <v>27</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Accesibilidad</v>
      </c>
      <c r="C532" s="114" t="str" cm="1">
        <f t="array" ref="C532">IFERROR(INDEX('03.Muestra'!$F$8:$F$42,SMALL(IF("Página Web"='03.Muestra'!$D$8:$D$42,ROW('03.Muestra'!$F$8:$F$42)-MIN(ROW('03.Muestra'!$D$8:$D$42))+1,""),ROW()-512)),"")</f>
        <v>https://www.crtm.es/accesibilidad</v>
      </c>
      <c r="D532" s="130" t="s">
        <v>27</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cm="1">
        <f t="array" ref="A533">IFERROR(INDEX('03.Muestra'!$B$8:$B$42,SMALL(IF("Página Web"='03.Muestra'!$D$8:$D$42,ROW('03.Muestra'!$B$8:$B$42)-MIN(ROW('03.Muestra'!$D$8:$D$42))+1,""),ROW()-512)),"")</f>
        <v>21</v>
      </c>
      <c r="B533" s="114" t="str" cm="1">
        <f t="array" ref="B533">IFERROR(INDEX('03.Muestra'!$C$8:$C$42,SMALL(IF("Página Web"='03.Muestra'!$D$8:$D$42,ROW('03.Muestra'!$C$8:$C$42)-MIN(ROW('03.Muestra'!$D$8:$D$42))+1,""),ROW()-512)),"")</f>
        <v>Modo accesible</v>
      </c>
      <c r="C533" s="114" t="str" cm="1">
        <f t="array" ref="C533">IFERROR(INDEX('03.Muestra'!$F$8:$F$42,SMALL(IF("Página Web"='03.Muestra'!$D$8:$D$42,ROW('03.Muestra'!$F$8:$F$42)-MIN(ROW('03.Muestra'!$D$8:$D$42))+1,""),ROW()-512)),"")</f>
        <v>https://www.crtm.es/</v>
      </c>
      <c r="D533" s="130" t="s">
        <v>25</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ref="D534:D547" si="27">IF(AND(B534&lt;&gt;"",C534&lt;&gt;""),"N/T","")</f>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https://www.crtm.es/</v>
      </c>
      <c r="D551" s="130" t="s">
        <v>27</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Red de metro</v>
      </c>
      <c r="C552" s="114" t="str" cm="1">
        <f t="array" ref="C552">IFERROR(INDEX('03.Muestra'!$F$8:$F$42,SMALL(IF("Página Web"='03.Muestra'!$D$8:$D$42,ROW('03.Muestra'!$F$8:$F$42)-MIN(ROW('03.Muestra'!$D$8:$D$42))+1,""),ROW()-550)),"")</f>
        <v>https://www.crtm.es/tu-transporte-publico/metro/</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14</v>
      </c>
      <c r="I552" s="120">
        <f ca="1">COUNTIF($D551:INDIRECT("$D" &amp;  SUM(ROW()-1,'03.Muestra'!$D$45)-1),I551)</f>
        <v>7</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Líneas de metro</v>
      </c>
      <c r="C553" s="114" t="str" cm="1">
        <f t="array" ref="C553">IFERROR(INDEX('03.Muestra'!$F$8:$F$42,SMALL(IF("Página Web"='03.Muestra'!$D$8:$D$42,ROW('03.Muestra'!$F$8:$F$42)-MIN(ROW('03.Muestra'!$D$8:$D$42))+1,""),ROW()-550)),"")</f>
        <v>https://www.crtm.es/tu-transporte-publico/metro/lineas/4__1___</v>
      </c>
      <c r="D553" s="130" t="s">
        <v>27</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Estaciones Aeropuerto T1-T2-T3</v>
      </c>
      <c r="C554" s="114" t="str" cm="1">
        <f t="array" ref="C554">IFERROR(INDEX('03.Muestra'!$F$8:$F$42,SMALL(IF("Página Web"='03.Muestra'!$D$8:$D$42,ROW('03.Muestra'!$F$8:$F$42)-MIN(ROW('03.Muestra'!$D$8:$D$42))+1,""),ROW()-550)),"")</f>
        <v>https://www.crtm.es/tu-transporte-publico/metro/estaciones/4_159</v>
      </c>
      <c r="D554" s="130" t="s">
        <v>27</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Muévete por Madrid</v>
      </c>
      <c r="C555" s="114" t="str" cm="1">
        <f t="array" ref="C555">IFERROR(INDEX('03.Muestra'!$F$8:$F$42,SMALL(IF("Página Web"='03.Muestra'!$D$8:$D$42,ROW('03.Muestra'!$F$8:$F$42)-MIN(ROW('03.Muestra'!$D$8:$D$42))+1,""),ROW()-550)),"")</f>
        <v>https://www.crtm.es/muevete-por-madrid/</v>
      </c>
      <c r="D555" s="130" t="s">
        <v>34</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conexiones con aeropuerto y principales estaciones</v>
      </c>
      <c r="C556" s="114" t="str" cm="1">
        <f t="array" ref="C556">IFERROR(INDEX('03.Muestra'!$F$8:$F$42,SMALL(IF("Página Web"='03.Muestra'!$D$8:$D$42,ROW('03.Muestra'!$F$8:$F$42)-MIN(ROW('03.Muestra'!$D$8:$D$42))+1,""),ROW()-550)),"")</f>
        <v xml:space="preserve">https://www.crtm.es/muevete-por-madrid/conexiones-con-aeropuerto-y-principales-estaciones/ </v>
      </c>
      <c r="D556" s="130" t="s">
        <v>27</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Atención desplazados Ucranianos</v>
      </c>
      <c r="C557" s="114" t="str" cm="1">
        <f t="array" ref="C557">IFERROR(INDEX('03.Muestra'!$F$8:$F$42,SMALL(IF("Página Web"='03.Muestra'!$D$8:$D$42,ROW('03.Muestra'!$F$8:$F$42)-MIN(ROW('03.Muestra'!$D$8:$D$42))+1,""),ROW()-550)),"")</f>
        <v>https://www.crtm.es/atencion-desplazados-ucranianos/#item3</v>
      </c>
      <c r="D557" s="130" t="s">
        <v>27</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Preguntas frecuentes (Tarjeta transporte público personal)</v>
      </c>
      <c r="C558" s="114" t="str" cm="1">
        <f t="array" ref="C558">IFERROR(INDEX('03.Muestra'!$F$8:$F$42,SMALL(IF("Página Web"='03.Muestra'!$D$8:$D$42,ROW('03.Muestra'!$F$8:$F$42)-MIN(ROW('03.Muestra'!$D$8:$D$42))+1,""),ROW()-550)),"")</f>
        <v xml:space="preserve"> https://www.crtm.es/billetes-y-tarifas/tarjeta-transporte-publico/preguntas-frecuentes/#item23</v>
      </c>
      <c r="D558" s="130" t="s">
        <v>34</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Billetes y abonos (Metro)</v>
      </c>
      <c r="C559" s="114" t="str" cm="1">
        <f t="array" ref="C559">IFERROR(INDEX('03.Muestra'!$F$8:$F$42,SMALL(IF("Página Web"='03.Muestra'!$D$8:$D$42,ROW('03.Muestra'!$F$8:$F$42)-MIN(ROW('03.Muestra'!$D$8:$D$42))+1,""),ROW()-550)),"")</f>
        <v>https://www.crtm.es/billetes-y-tarifas/billetes-y-abonos/metro/?idPestana=1&amp;lang=#item10</v>
      </c>
      <c r="D559" s="130" t="s">
        <v>34</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Billetes y tarifas (App)</v>
      </c>
      <c r="C560" s="114" t="str" cm="1">
        <f t="array" ref="C560">IFERROR(INDEX('03.Muestra'!$F$8:$F$42,SMALL(IF("Página Web"='03.Muestra'!$D$8:$D$42,ROW('03.Muestra'!$F$8:$F$42)-MIN(ROW('03.Muestra'!$D$8:$D$42))+1,""),ROW()-550)),"")</f>
        <v>https://www.crtm.es/billetes-y-tarifas/apps/</v>
      </c>
      <c r="D560" s="130" t="s">
        <v>27</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Atención al cliente</v>
      </c>
      <c r="C561" s="114" t="str" cm="1">
        <f t="array" ref="C561">IFERROR(INDEX('03.Muestra'!$F$8:$F$42,SMALL(IF("Página Web"='03.Muestra'!$D$8:$D$42,ROW('03.Muestra'!$F$8:$F$42)-MIN(ROW('03.Muestra'!$D$8:$D$42))+1,""),ROW()-550)),"")</f>
        <v>https://www.crtm.es/atencion-al-cliente/</v>
      </c>
      <c r="D561" s="130" t="s">
        <v>34</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Conócenos</v>
      </c>
      <c r="C562" s="114" t="str" cm="1">
        <f t="array" ref="C562">IFERROR(INDEX('03.Muestra'!$F$8:$F$42,SMALL(IF("Página Web"='03.Muestra'!$D$8:$D$42,ROW('03.Muestra'!$F$8:$F$42)-MIN(ROW('03.Muestra'!$D$8:$D$42))+1,""),ROW()-550)),"")</f>
        <v>https://www.crtm.es/conocenos/#CentrodeDocumentacion</v>
      </c>
      <c r="D562" s="130" t="s">
        <v>34</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Actualidad del servicio</v>
      </c>
      <c r="C563" s="114" t="str" cm="1">
        <f t="array" ref="C563">IFERROR(INDEX('03.Muestra'!$F$8:$F$42,SMALL(IF("Página Web"='03.Muestra'!$D$8:$D$42,ROW('03.Muestra'!$F$8:$F$42)-MIN(ROW('03.Muestra'!$D$8:$D$42))+1,""),ROW()-550)),"")</f>
        <v>https://www.crtm.es/comunicacion/actualidad-del-servicio/?idPestana=1&amp;lang=es</v>
      </c>
      <c r="D563" s="130" t="s">
        <v>34</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Galería de fotos</v>
      </c>
      <c r="C564" s="114" t="str" cm="1">
        <f t="array" ref="C564">IFERROR(INDEX('03.Muestra'!$F$8:$F$42,SMALL(IF("Página Web"='03.Muestra'!$D$8:$D$42,ROW('03.Muestra'!$F$8:$F$42)-MIN(ROW('03.Muestra'!$D$8:$D$42))+1,""),ROW()-550)),"")</f>
        <v>https://www.crtm.es/comunicacion/multimedia/galeria-de-fotos/</v>
      </c>
      <c r="D564" s="130" t="s">
        <v>34</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Mapa web</v>
      </c>
      <c r="C565" s="114" t="str" cm="1">
        <f t="array" ref="C565">IFERROR(INDEX('03.Muestra'!$F$8:$F$42,SMALL(IF("Página Web"='03.Muestra'!$D$8:$D$42,ROW('03.Muestra'!$F$8:$F$42)-MIN(ROW('03.Muestra'!$D$8:$D$42))+1,""),ROW()-550)),"")</f>
        <v>https://www.crtm.es/mapa-web</v>
      </c>
      <c r="D565" s="130" t="s">
        <v>34</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Protección de datos</v>
      </c>
      <c r="C566" s="114" t="str" cm="1">
        <f t="array" ref="C566">IFERROR(INDEX('03.Muestra'!$F$8:$F$42,SMALL(IF("Página Web"='03.Muestra'!$D$8:$D$42,ROW('03.Muestra'!$F$8:$F$42)-MIN(ROW('03.Muestra'!$D$8:$D$42))+1,""),ROW()-550)),"")</f>
        <v>https://www.crtm.es/proteccion-de-datos</v>
      </c>
      <c r="D566" s="130" t="s">
        <v>34</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Política de cookies</v>
      </c>
      <c r="C567" s="114" t="str" cm="1">
        <f t="array" ref="C567">IFERROR(INDEX('03.Muestra'!$F$8:$F$42,SMALL(IF("Página Web"='03.Muestra'!$D$8:$D$42,ROW('03.Muestra'!$F$8:$F$42)-MIN(ROW('03.Muestra'!$D$8:$D$42))+1,""),ROW()-550)),"")</f>
        <v>https://www.crtm.es/politica-de-cookies</v>
      </c>
      <c r="D567" s="130" t="s">
        <v>34</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Aviso Legal</v>
      </c>
      <c r="C568" s="114" t="str" cm="1">
        <f t="array" ref="C568">IFERROR(INDEX('03.Muestra'!$F$8:$F$42,SMALL(IF("Página Web"='03.Muestra'!$D$8:$D$42,ROW('03.Muestra'!$F$8:$F$42)-MIN(ROW('03.Muestra'!$D$8:$D$42))+1,""),ROW()-550)),"")</f>
        <v>https://www.crtm.es/aviso-legal</v>
      </c>
      <c r="D568" s="130" t="s">
        <v>34</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Normativa</v>
      </c>
      <c r="C569" s="114" t="str" cm="1">
        <f t="array" ref="C569">IFERROR(INDEX('03.Muestra'!$F$8:$F$42,SMALL(IF("Página Web"='03.Muestra'!$D$8:$D$42,ROW('03.Muestra'!$F$8:$F$42)-MIN(ROW('03.Muestra'!$D$8:$D$42))+1,""),ROW()-550)),"")</f>
        <v>https://www.crtm.es/normativa</v>
      </c>
      <c r="D569" s="130" t="s">
        <v>34</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Accesibilidad</v>
      </c>
      <c r="C570" s="114" t="str" cm="1">
        <f t="array" ref="C570">IFERROR(INDEX('03.Muestra'!$F$8:$F$42,SMALL(IF("Página Web"='03.Muestra'!$D$8:$D$42,ROW('03.Muestra'!$F$8:$F$42)-MIN(ROW('03.Muestra'!$D$8:$D$42))+1,""),ROW()-550)),"")</f>
        <v>https://www.crtm.es/accesibilidad</v>
      </c>
      <c r="D570" s="130" t="s">
        <v>34</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cm="1">
        <f t="array" ref="A571">IFERROR(INDEX('03.Muestra'!$B$8:$B$42,SMALL(IF("Página Web"='03.Muestra'!$D$8:$D$42,ROW('03.Muestra'!$B$8:$B$42)-MIN(ROW('03.Muestra'!$D$8:$D$42))+1,""),ROW()-550)),"")</f>
        <v>21</v>
      </c>
      <c r="B571" s="114" t="str" cm="1">
        <f t="array" ref="B571">IFERROR(INDEX('03.Muestra'!$C$8:$C$42,SMALL(IF("Página Web"='03.Muestra'!$D$8:$D$42,ROW('03.Muestra'!$C$8:$C$42)-MIN(ROW('03.Muestra'!$D$8:$D$42))+1,""),ROW()-550)),"")</f>
        <v>Modo accesible</v>
      </c>
      <c r="C571" s="114" t="str" cm="1">
        <f t="array" ref="C571">IFERROR(INDEX('03.Muestra'!$F$8:$F$42,SMALL(IF("Página Web"='03.Muestra'!$D$8:$D$42,ROW('03.Muestra'!$F$8:$F$42)-MIN(ROW('03.Muestra'!$D$8:$D$42))+1,""),ROW()-550)),"")</f>
        <v>https://www.crtm.es/</v>
      </c>
      <c r="D571" s="130" t="s">
        <v>27</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ref="D572:D585" si="29">IF(AND(B572&lt;&gt;"",C572&lt;&gt;""),"N/T","")</f>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https://www.crtm.es/</v>
      </c>
      <c r="D589" s="130" t="s">
        <v>27</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Red de metro</v>
      </c>
      <c r="C590" s="114" t="str" cm="1">
        <f t="array" ref="C590">IFERROR(INDEX('03.Muestra'!$F$8:$F$42,SMALL(IF("Página Web"='03.Muestra'!$D$8:$D$42,ROW('03.Muestra'!$F$8:$F$42)-MIN(ROW('03.Muestra'!$D$8:$D$42))+1,""),ROW()-588)),"")</f>
        <v>https://www.crtm.es/tu-transporte-publico/metro/</v>
      </c>
      <c r="D590" s="130" t="s">
        <v>27</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20</v>
      </c>
      <c r="J590" s="120">
        <f ca="1">COUNTIF($D589:INDIRECT("$D" &amp;  SUM(ROW()-1,'03.Muestra'!$D$45)-1),J589)</f>
        <v>1</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Líneas de metro</v>
      </c>
      <c r="C591" s="114" t="str" cm="1">
        <f t="array" ref="C591">IFERROR(INDEX('03.Muestra'!$F$8:$F$42,SMALL(IF("Página Web"='03.Muestra'!$D$8:$D$42,ROW('03.Muestra'!$F$8:$F$42)-MIN(ROW('03.Muestra'!$D$8:$D$42))+1,""),ROW()-588)),"")</f>
        <v>https://www.crtm.es/tu-transporte-publico/metro/lineas/4__1___</v>
      </c>
      <c r="D591" s="130" t="s">
        <v>27</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Estaciones Aeropuerto T1-T2-T3</v>
      </c>
      <c r="C592" s="114" t="str" cm="1">
        <f t="array" ref="C592">IFERROR(INDEX('03.Muestra'!$F$8:$F$42,SMALL(IF("Página Web"='03.Muestra'!$D$8:$D$42,ROW('03.Muestra'!$F$8:$F$42)-MIN(ROW('03.Muestra'!$D$8:$D$42))+1,""),ROW()-588)),"")</f>
        <v>https://www.crtm.es/tu-transporte-publico/metro/estaciones/4_159</v>
      </c>
      <c r="D592" s="130" t="s">
        <v>27</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Muévete por Madrid</v>
      </c>
      <c r="C593" s="114" t="str" cm="1">
        <f t="array" ref="C593">IFERROR(INDEX('03.Muestra'!$F$8:$F$42,SMALL(IF("Página Web"='03.Muestra'!$D$8:$D$42,ROW('03.Muestra'!$F$8:$F$42)-MIN(ROW('03.Muestra'!$D$8:$D$42))+1,""),ROW()-588)),"")</f>
        <v>https://www.crtm.es/muevete-por-madrid/</v>
      </c>
      <c r="D593" s="130" t="s">
        <v>27</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conexiones con aeropuerto y principales estaciones</v>
      </c>
      <c r="C594" s="114" t="str" cm="1">
        <f t="array" ref="C594">IFERROR(INDEX('03.Muestra'!$F$8:$F$42,SMALL(IF("Página Web"='03.Muestra'!$D$8:$D$42,ROW('03.Muestra'!$F$8:$F$42)-MIN(ROW('03.Muestra'!$D$8:$D$42))+1,""),ROW()-588)),"")</f>
        <v xml:space="preserve">https://www.crtm.es/muevete-por-madrid/conexiones-con-aeropuerto-y-principales-estaciones/ </v>
      </c>
      <c r="D594" s="130" t="s">
        <v>27</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Atención desplazados Ucranianos</v>
      </c>
      <c r="C595" s="114" t="str" cm="1">
        <f t="array" ref="C595">IFERROR(INDEX('03.Muestra'!$F$8:$F$42,SMALL(IF("Página Web"='03.Muestra'!$D$8:$D$42,ROW('03.Muestra'!$F$8:$F$42)-MIN(ROW('03.Muestra'!$D$8:$D$42))+1,""),ROW()-588)),"")</f>
        <v>https://www.crtm.es/atencion-desplazados-ucranianos/#item3</v>
      </c>
      <c r="D595" s="130" t="s">
        <v>27</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Preguntas frecuentes (Tarjeta transporte público personal)</v>
      </c>
      <c r="C596" s="114" t="str" cm="1">
        <f t="array" ref="C596">IFERROR(INDEX('03.Muestra'!$F$8:$F$42,SMALL(IF("Página Web"='03.Muestra'!$D$8:$D$42,ROW('03.Muestra'!$F$8:$F$42)-MIN(ROW('03.Muestra'!$D$8:$D$42))+1,""),ROW()-588)),"")</f>
        <v xml:space="preserve"> https://www.crtm.es/billetes-y-tarifas/tarjeta-transporte-publico/preguntas-frecuentes/#item23</v>
      </c>
      <c r="D596" s="130" t="s">
        <v>27</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Billetes y abonos (Metro)</v>
      </c>
      <c r="C597" s="114" t="str" cm="1">
        <f t="array" ref="C597">IFERROR(INDEX('03.Muestra'!$F$8:$F$42,SMALL(IF("Página Web"='03.Muestra'!$D$8:$D$42,ROW('03.Muestra'!$F$8:$F$42)-MIN(ROW('03.Muestra'!$D$8:$D$42))+1,""),ROW()-588)),"")</f>
        <v>https://www.crtm.es/billetes-y-tarifas/billetes-y-abonos/metro/?idPestana=1&amp;lang=#item10</v>
      </c>
      <c r="D597" s="130" t="s">
        <v>27</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Billetes y tarifas (App)</v>
      </c>
      <c r="C598" s="114" t="str" cm="1">
        <f t="array" ref="C598">IFERROR(INDEX('03.Muestra'!$F$8:$F$42,SMALL(IF("Página Web"='03.Muestra'!$D$8:$D$42,ROW('03.Muestra'!$F$8:$F$42)-MIN(ROW('03.Muestra'!$D$8:$D$42))+1,""),ROW()-588)),"")</f>
        <v>https://www.crtm.es/billetes-y-tarifas/apps/</v>
      </c>
      <c r="D598" s="130" t="s">
        <v>27</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Atención al cliente</v>
      </c>
      <c r="C599" s="114" t="str" cm="1">
        <f t="array" ref="C599">IFERROR(INDEX('03.Muestra'!$F$8:$F$42,SMALL(IF("Página Web"='03.Muestra'!$D$8:$D$42,ROW('03.Muestra'!$F$8:$F$42)-MIN(ROW('03.Muestra'!$D$8:$D$42))+1,""),ROW()-588)),"")</f>
        <v>https://www.crtm.es/atencion-al-cliente/</v>
      </c>
      <c r="D599" s="130" t="s">
        <v>27</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Conócenos</v>
      </c>
      <c r="C600" s="114" t="str" cm="1">
        <f t="array" ref="C600">IFERROR(INDEX('03.Muestra'!$F$8:$F$42,SMALL(IF("Página Web"='03.Muestra'!$D$8:$D$42,ROW('03.Muestra'!$F$8:$F$42)-MIN(ROW('03.Muestra'!$D$8:$D$42))+1,""),ROW()-588)),"")</f>
        <v>https://www.crtm.es/conocenos/#CentrodeDocumentacion</v>
      </c>
      <c r="D600" s="130" t="s">
        <v>27</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Actualidad del servicio</v>
      </c>
      <c r="C601" s="114" t="str" cm="1">
        <f t="array" ref="C601">IFERROR(INDEX('03.Muestra'!$F$8:$F$42,SMALL(IF("Página Web"='03.Muestra'!$D$8:$D$42,ROW('03.Muestra'!$F$8:$F$42)-MIN(ROW('03.Muestra'!$D$8:$D$42))+1,""),ROW()-588)),"")</f>
        <v>https://www.crtm.es/comunicacion/actualidad-del-servicio/?idPestana=1&amp;lang=es</v>
      </c>
      <c r="D601" s="130" t="s">
        <v>27</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Galería de fotos</v>
      </c>
      <c r="C602" s="114" t="str" cm="1">
        <f t="array" ref="C602">IFERROR(INDEX('03.Muestra'!$F$8:$F$42,SMALL(IF("Página Web"='03.Muestra'!$D$8:$D$42,ROW('03.Muestra'!$F$8:$F$42)-MIN(ROW('03.Muestra'!$D$8:$D$42))+1,""),ROW()-588)),"")</f>
        <v>https://www.crtm.es/comunicacion/multimedia/galeria-de-fotos/</v>
      </c>
      <c r="D602" s="130" t="s">
        <v>27</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Mapa web</v>
      </c>
      <c r="C603" s="114" t="str" cm="1">
        <f t="array" ref="C603">IFERROR(INDEX('03.Muestra'!$F$8:$F$42,SMALL(IF("Página Web"='03.Muestra'!$D$8:$D$42,ROW('03.Muestra'!$F$8:$F$42)-MIN(ROW('03.Muestra'!$D$8:$D$42))+1,""),ROW()-588)),"")</f>
        <v>https://www.crtm.es/mapa-web</v>
      </c>
      <c r="D603" s="130" t="s">
        <v>27</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Protección de datos</v>
      </c>
      <c r="C604" s="114" t="str" cm="1">
        <f t="array" ref="C604">IFERROR(INDEX('03.Muestra'!$F$8:$F$42,SMALL(IF("Página Web"='03.Muestra'!$D$8:$D$42,ROW('03.Muestra'!$F$8:$F$42)-MIN(ROW('03.Muestra'!$D$8:$D$42))+1,""),ROW()-588)),"")</f>
        <v>https://www.crtm.es/proteccion-de-datos</v>
      </c>
      <c r="D604" s="130" t="s">
        <v>27</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Política de cookies</v>
      </c>
      <c r="C605" s="114" t="str" cm="1">
        <f t="array" ref="C605">IFERROR(INDEX('03.Muestra'!$F$8:$F$42,SMALL(IF("Página Web"='03.Muestra'!$D$8:$D$42,ROW('03.Muestra'!$F$8:$F$42)-MIN(ROW('03.Muestra'!$D$8:$D$42))+1,""),ROW()-588)),"")</f>
        <v>https://www.crtm.es/politica-de-cookies</v>
      </c>
      <c r="D605" s="130" t="s">
        <v>27</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Aviso Legal</v>
      </c>
      <c r="C606" s="114" t="str" cm="1">
        <f t="array" ref="C606">IFERROR(INDEX('03.Muestra'!$F$8:$F$42,SMALL(IF("Página Web"='03.Muestra'!$D$8:$D$42,ROW('03.Muestra'!$F$8:$F$42)-MIN(ROW('03.Muestra'!$D$8:$D$42))+1,""),ROW()-588)),"")</f>
        <v>https://www.crtm.es/aviso-legal</v>
      </c>
      <c r="D606" s="130" t="s">
        <v>27</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Normativa</v>
      </c>
      <c r="C607" s="114" t="str" cm="1">
        <f t="array" ref="C607">IFERROR(INDEX('03.Muestra'!$F$8:$F$42,SMALL(IF("Página Web"='03.Muestra'!$D$8:$D$42,ROW('03.Muestra'!$F$8:$F$42)-MIN(ROW('03.Muestra'!$D$8:$D$42))+1,""),ROW()-588)),"")</f>
        <v>https://www.crtm.es/normativa</v>
      </c>
      <c r="D607" s="130" t="s">
        <v>27</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Accesibilidad</v>
      </c>
      <c r="C608" s="114" t="str" cm="1">
        <f t="array" ref="C608">IFERROR(INDEX('03.Muestra'!$F$8:$F$42,SMALL(IF("Página Web"='03.Muestra'!$D$8:$D$42,ROW('03.Muestra'!$F$8:$F$42)-MIN(ROW('03.Muestra'!$D$8:$D$42))+1,""),ROW()-588)),"")</f>
        <v>https://www.crtm.es/accesibilidad</v>
      </c>
      <c r="D608" s="130" t="s">
        <v>27</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cm="1">
        <f t="array" ref="A609">IFERROR(INDEX('03.Muestra'!$B$8:$B$42,SMALL(IF("Página Web"='03.Muestra'!$D$8:$D$42,ROW('03.Muestra'!$B$8:$B$42)-MIN(ROW('03.Muestra'!$D$8:$D$42))+1,""),ROW()-588)),"")</f>
        <v>21</v>
      </c>
      <c r="B609" s="114" t="str" cm="1">
        <f t="array" ref="B609">IFERROR(INDEX('03.Muestra'!$C$8:$C$42,SMALL(IF("Página Web"='03.Muestra'!$D$8:$D$42,ROW('03.Muestra'!$C$8:$C$42)-MIN(ROW('03.Muestra'!$D$8:$D$42))+1,""),ROW()-588)),"")</f>
        <v>Modo accesible</v>
      </c>
      <c r="C609" s="114" t="str" cm="1">
        <f t="array" ref="C609">IFERROR(INDEX('03.Muestra'!$F$8:$F$42,SMALL(IF("Página Web"='03.Muestra'!$D$8:$D$42,ROW('03.Muestra'!$F$8:$F$42)-MIN(ROW('03.Muestra'!$D$8:$D$42))+1,""),ROW()-588)),"")</f>
        <v>https://www.crtm.es/</v>
      </c>
      <c r="D609" s="130" t="s">
        <v>25</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ref="D610:D623" si="31">IF(AND(B610&lt;&gt;"",C610&lt;&gt;""),"N/T","")</f>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https://www.crtm.es/</v>
      </c>
      <c r="D627" s="130"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Red de metro</v>
      </c>
      <c r="C628" s="114" t="str" cm="1">
        <f t="array" ref="C628">IFERROR(INDEX('03.Muestra'!$F$8:$F$42,SMALL(IF("Página Web"='03.Muestra'!$D$8:$D$42,ROW('03.Muestra'!$F$8:$F$42)-MIN(ROW('03.Muestra'!$D$8:$D$42))+1,""),ROW()-626)),"")</f>
        <v>https://www.crtm.es/tu-transporte-publico/metro/</v>
      </c>
      <c r="D628" s="130" t="s">
        <v>27</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20</v>
      </c>
      <c r="J628" s="120">
        <f ca="1">COUNTIF($D627:INDIRECT("$D" &amp;  SUM(ROW()-1,'03.Muestra'!$D$45)-1),J627)</f>
        <v>1</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Líneas de metro</v>
      </c>
      <c r="C629" s="114" t="str" cm="1">
        <f t="array" ref="C629">IFERROR(INDEX('03.Muestra'!$F$8:$F$42,SMALL(IF("Página Web"='03.Muestra'!$D$8:$D$42,ROW('03.Muestra'!$F$8:$F$42)-MIN(ROW('03.Muestra'!$D$8:$D$42))+1,""),ROW()-626)),"")</f>
        <v>https://www.crtm.es/tu-transporte-publico/metro/lineas/4__1___</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Estaciones Aeropuerto T1-T2-T3</v>
      </c>
      <c r="C630" s="114" t="str" cm="1">
        <f t="array" ref="C630">IFERROR(INDEX('03.Muestra'!$F$8:$F$42,SMALL(IF("Página Web"='03.Muestra'!$D$8:$D$42,ROW('03.Muestra'!$F$8:$F$42)-MIN(ROW('03.Muestra'!$D$8:$D$42))+1,""),ROW()-626)),"")</f>
        <v>https://www.crtm.es/tu-transporte-publico/metro/estaciones/4_159</v>
      </c>
      <c r="D630" s="130" t="s">
        <v>27</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Muévete por Madrid</v>
      </c>
      <c r="C631" s="114" t="str" cm="1">
        <f t="array" ref="C631">IFERROR(INDEX('03.Muestra'!$F$8:$F$42,SMALL(IF("Página Web"='03.Muestra'!$D$8:$D$42,ROW('03.Muestra'!$F$8:$F$42)-MIN(ROW('03.Muestra'!$D$8:$D$42))+1,""),ROW()-626)),"")</f>
        <v>https://www.crtm.es/muevete-por-madrid/</v>
      </c>
      <c r="D631" s="130" t="s">
        <v>27</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conexiones con aeropuerto y principales estaciones</v>
      </c>
      <c r="C632" s="114" t="str" cm="1">
        <f t="array" ref="C632">IFERROR(INDEX('03.Muestra'!$F$8:$F$42,SMALL(IF("Página Web"='03.Muestra'!$D$8:$D$42,ROW('03.Muestra'!$F$8:$F$42)-MIN(ROW('03.Muestra'!$D$8:$D$42))+1,""),ROW()-626)),"")</f>
        <v xml:space="preserve">https://www.crtm.es/muevete-por-madrid/conexiones-con-aeropuerto-y-principales-estaciones/ </v>
      </c>
      <c r="D632" s="130" t="s">
        <v>27</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Atención desplazados Ucranianos</v>
      </c>
      <c r="C633" s="114" t="str" cm="1">
        <f t="array" ref="C633">IFERROR(INDEX('03.Muestra'!$F$8:$F$42,SMALL(IF("Página Web"='03.Muestra'!$D$8:$D$42,ROW('03.Muestra'!$F$8:$F$42)-MIN(ROW('03.Muestra'!$D$8:$D$42))+1,""),ROW()-626)),"")</f>
        <v>https://www.crtm.es/atencion-desplazados-ucranianos/#item3</v>
      </c>
      <c r="D633" s="130" t="s">
        <v>27</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Preguntas frecuentes (Tarjeta transporte público personal)</v>
      </c>
      <c r="C634" s="114" t="str" cm="1">
        <f t="array" ref="C634">IFERROR(INDEX('03.Muestra'!$F$8:$F$42,SMALL(IF("Página Web"='03.Muestra'!$D$8:$D$42,ROW('03.Muestra'!$F$8:$F$42)-MIN(ROW('03.Muestra'!$D$8:$D$42))+1,""),ROW()-626)),"")</f>
        <v xml:space="preserve"> https://www.crtm.es/billetes-y-tarifas/tarjeta-transporte-publico/preguntas-frecuentes/#item23</v>
      </c>
      <c r="D634" s="130" t="s">
        <v>27</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Billetes y abonos (Metro)</v>
      </c>
      <c r="C635" s="114" t="str" cm="1">
        <f t="array" ref="C635">IFERROR(INDEX('03.Muestra'!$F$8:$F$42,SMALL(IF("Página Web"='03.Muestra'!$D$8:$D$42,ROW('03.Muestra'!$F$8:$F$42)-MIN(ROW('03.Muestra'!$D$8:$D$42))+1,""),ROW()-626)),"")</f>
        <v>https://www.crtm.es/billetes-y-tarifas/billetes-y-abonos/metro/?idPestana=1&amp;lang=#item10</v>
      </c>
      <c r="D635" s="130" t="s">
        <v>27</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Billetes y tarifas (App)</v>
      </c>
      <c r="C636" s="114" t="str" cm="1">
        <f t="array" ref="C636">IFERROR(INDEX('03.Muestra'!$F$8:$F$42,SMALL(IF("Página Web"='03.Muestra'!$D$8:$D$42,ROW('03.Muestra'!$F$8:$F$42)-MIN(ROW('03.Muestra'!$D$8:$D$42))+1,""),ROW()-626)),"")</f>
        <v>https://www.crtm.es/billetes-y-tarifas/apps/</v>
      </c>
      <c r="D636" s="130" t="s">
        <v>27</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Atención al cliente</v>
      </c>
      <c r="C637" s="114" t="str" cm="1">
        <f t="array" ref="C637">IFERROR(INDEX('03.Muestra'!$F$8:$F$42,SMALL(IF("Página Web"='03.Muestra'!$D$8:$D$42,ROW('03.Muestra'!$F$8:$F$42)-MIN(ROW('03.Muestra'!$D$8:$D$42))+1,""),ROW()-626)),"")</f>
        <v>https://www.crtm.es/atencion-al-cliente/</v>
      </c>
      <c r="D637" s="130" t="s">
        <v>27</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Conócenos</v>
      </c>
      <c r="C638" s="114" t="str" cm="1">
        <f t="array" ref="C638">IFERROR(INDEX('03.Muestra'!$F$8:$F$42,SMALL(IF("Página Web"='03.Muestra'!$D$8:$D$42,ROW('03.Muestra'!$F$8:$F$42)-MIN(ROW('03.Muestra'!$D$8:$D$42))+1,""),ROW()-626)),"")</f>
        <v>https://www.crtm.es/conocenos/#CentrodeDocumentacion</v>
      </c>
      <c r="D638" s="130" t="s">
        <v>27</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Actualidad del servicio</v>
      </c>
      <c r="C639" s="114" t="str" cm="1">
        <f t="array" ref="C639">IFERROR(INDEX('03.Muestra'!$F$8:$F$42,SMALL(IF("Página Web"='03.Muestra'!$D$8:$D$42,ROW('03.Muestra'!$F$8:$F$42)-MIN(ROW('03.Muestra'!$D$8:$D$42))+1,""),ROW()-626)),"")</f>
        <v>https://www.crtm.es/comunicacion/actualidad-del-servicio/?idPestana=1&amp;lang=es</v>
      </c>
      <c r="D639" s="130" t="s">
        <v>27</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Galería de fotos</v>
      </c>
      <c r="C640" s="114" t="str" cm="1">
        <f t="array" ref="C640">IFERROR(INDEX('03.Muestra'!$F$8:$F$42,SMALL(IF("Página Web"='03.Muestra'!$D$8:$D$42,ROW('03.Muestra'!$F$8:$F$42)-MIN(ROW('03.Muestra'!$D$8:$D$42))+1,""),ROW()-626)),"")</f>
        <v>https://www.crtm.es/comunicacion/multimedia/galeria-de-fotos/</v>
      </c>
      <c r="D640" s="130" t="s">
        <v>27</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Mapa web</v>
      </c>
      <c r="C641" s="114" t="str" cm="1">
        <f t="array" ref="C641">IFERROR(INDEX('03.Muestra'!$F$8:$F$42,SMALL(IF("Página Web"='03.Muestra'!$D$8:$D$42,ROW('03.Muestra'!$F$8:$F$42)-MIN(ROW('03.Muestra'!$D$8:$D$42))+1,""),ROW()-626)),"")</f>
        <v>https://www.crtm.es/mapa-web</v>
      </c>
      <c r="D641" s="130" t="s">
        <v>27</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Protección de datos</v>
      </c>
      <c r="C642" s="114" t="str" cm="1">
        <f t="array" ref="C642">IFERROR(INDEX('03.Muestra'!$F$8:$F$42,SMALL(IF("Página Web"='03.Muestra'!$D$8:$D$42,ROW('03.Muestra'!$F$8:$F$42)-MIN(ROW('03.Muestra'!$D$8:$D$42))+1,""),ROW()-626)),"")</f>
        <v>https://www.crtm.es/proteccion-de-datos</v>
      </c>
      <c r="D642" s="130" t="s">
        <v>27</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Política de cookies</v>
      </c>
      <c r="C643" s="114" t="str" cm="1">
        <f t="array" ref="C643">IFERROR(INDEX('03.Muestra'!$F$8:$F$42,SMALL(IF("Página Web"='03.Muestra'!$D$8:$D$42,ROW('03.Muestra'!$F$8:$F$42)-MIN(ROW('03.Muestra'!$D$8:$D$42))+1,""),ROW()-626)),"")</f>
        <v>https://www.crtm.es/politica-de-cookies</v>
      </c>
      <c r="D643" s="130" t="s">
        <v>27</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Aviso Legal</v>
      </c>
      <c r="C644" s="114" t="str" cm="1">
        <f t="array" ref="C644">IFERROR(INDEX('03.Muestra'!$F$8:$F$42,SMALL(IF("Página Web"='03.Muestra'!$D$8:$D$42,ROW('03.Muestra'!$F$8:$F$42)-MIN(ROW('03.Muestra'!$D$8:$D$42))+1,""),ROW()-626)),"")</f>
        <v>https://www.crtm.es/aviso-legal</v>
      </c>
      <c r="D644" s="130" t="s">
        <v>27</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Normativa</v>
      </c>
      <c r="C645" s="114" t="str" cm="1">
        <f t="array" ref="C645">IFERROR(INDEX('03.Muestra'!$F$8:$F$42,SMALL(IF("Página Web"='03.Muestra'!$D$8:$D$42,ROW('03.Muestra'!$F$8:$F$42)-MIN(ROW('03.Muestra'!$D$8:$D$42))+1,""),ROW()-626)),"")</f>
        <v>https://www.crtm.es/normativa</v>
      </c>
      <c r="D645" s="130" t="s">
        <v>27</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Accesibilidad</v>
      </c>
      <c r="C646" s="114" t="str" cm="1">
        <f t="array" ref="C646">IFERROR(INDEX('03.Muestra'!$F$8:$F$42,SMALL(IF("Página Web"='03.Muestra'!$D$8:$D$42,ROW('03.Muestra'!$F$8:$F$42)-MIN(ROW('03.Muestra'!$D$8:$D$42))+1,""),ROW()-626)),"")</f>
        <v>https://www.crtm.es/accesibilidad</v>
      </c>
      <c r="D646" s="130" t="s">
        <v>27</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cm="1">
        <f t="array" ref="A647">IFERROR(INDEX('03.Muestra'!$B$8:$B$42,SMALL(IF("Página Web"='03.Muestra'!$D$8:$D$42,ROW('03.Muestra'!$B$8:$B$42)-MIN(ROW('03.Muestra'!$D$8:$D$42))+1,""),ROW()-626)),"")</f>
        <v>21</v>
      </c>
      <c r="B647" s="114" t="str" cm="1">
        <f t="array" ref="B647">IFERROR(INDEX('03.Muestra'!$C$8:$C$42,SMALL(IF("Página Web"='03.Muestra'!$D$8:$D$42,ROW('03.Muestra'!$C$8:$C$42)-MIN(ROW('03.Muestra'!$D$8:$D$42))+1,""),ROW()-626)),"")</f>
        <v>Modo accesible</v>
      </c>
      <c r="C647" s="114" t="str" cm="1">
        <f t="array" ref="C647">IFERROR(INDEX('03.Muestra'!$F$8:$F$42,SMALL(IF("Página Web"='03.Muestra'!$D$8:$D$42,ROW('03.Muestra'!$F$8:$F$42)-MIN(ROW('03.Muestra'!$D$8:$D$42))+1,""),ROW()-626)),"")</f>
        <v>https://www.crtm.es/</v>
      </c>
      <c r="D647" s="130" t="s">
        <v>25</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ref="D648:D661" si="33">IF(AND(B648&lt;&gt;"",C648&lt;&gt;""),"N/T","")</f>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https://www.crtm.es/</v>
      </c>
      <c r="D665" s="130" t="s">
        <v>27</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Red de metro</v>
      </c>
      <c r="C666" s="114" t="str" cm="1">
        <f t="array" ref="C666">IFERROR(INDEX('03.Muestra'!$F$8:$F$42,SMALL(IF("Página Web"='03.Muestra'!$D$8:$D$42,ROW('03.Muestra'!$F$8:$F$42)-MIN(ROW('03.Muestra'!$D$8:$D$42))+1,""),ROW()-664)),"")</f>
        <v>https://www.crtm.es/tu-transporte-publico/metro/</v>
      </c>
      <c r="D666" s="130" t="s">
        <v>27</v>
      </c>
      <c r="E666" s="107" t="str">
        <f t="shared" si="34"/>
        <v/>
      </c>
      <c r="F666" s="120">
        <f ca="1">COUNTIF($D665:INDIRECT("$D" &amp;  SUM(ROW()-1,'03.Muestra'!$D$45)-1),F665)</f>
        <v>0</v>
      </c>
      <c r="G666" s="120">
        <f ca="1">COUNTIF($D665:INDIRECT("$D" &amp;  SUM(ROW()-1,'03.Muestra'!$D$45)-1),G665)</f>
        <v>0</v>
      </c>
      <c r="H666" s="120">
        <f ca="1">COUNTIF($D665:INDIRECT("$D" &amp;  SUM(ROW()-1,'03.Muestra'!$D$45)-1),H665)</f>
        <v>1</v>
      </c>
      <c r="I666" s="120">
        <f ca="1">COUNTIF($D665:INDIRECT("$D" &amp;  SUM(ROW()-1,'03.Muestra'!$D$45)-1),I665)</f>
        <v>20</v>
      </c>
      <c r="J666" s="120">
        <f ca="1">COUNTIF($D665:INDIRECT("$D" &amp;  SUM(ROW()-1,'03.Muestra'!$D$45)-1),J665)</f>
        <v>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Líneas de metro</v>
      </c>
      <c r="C667" s="114" t="str" cm="1">
        <f t="array" ref="C667">IFERROR(INDEX('03.Muestra'!$F$8:$F$42,SMALL(IF("Página Web"='03.Muestra'!$D$8:$D$42,ROW('03.Muestra'!$F$8:$F$42)-MIN(ROW('03.Muestra'!$D$8:$D$42))+1,""),ROW()-664)),"")</f>
        <v>https://www.crtm.es/tu-transporte-publico/metro/lineas/4__1___</v>
      </c>
      <c r="D667" s="130" t="s">
        <v>27</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Estaciones Aeropuerto T1-T2-T3</v>
      </c>
      <c r="C668" s="114" t="str" cm="1">
        <f t="array" ref="C668">IFERROR(INDEX('03.Muestra'!$F$8:$F$42,SMALL(IF("Página Web"='03.Muestra'!$D$8:$D$42,ROW('03.Muestra'!$F$8:$F$42)-MIN(ROW('03.Muestra'!$D$8:$D$42))+1,""),ROW()-664)),"")</f>
        <v>https://www.crtm.es/tu-transporte-publico/metro/estaciones/4_159</v>
      </c>
      <c r="D668" s="130" t="s">
        <v>27</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Muévete por Madrid</v>
      </c>
      <c r="C669" s="114" t="str" cm="1">
        <f t="array" ref="C669">IFERROR(INDEX('03.Muestra'!$F$8:$F$42,SMALL(IF("Página Web"='03.Muestra'!$D$8:$D$42,ROW('03.Muestra'!$F$8:$F$42)-MIN(ROW('03.Muestra'!$D$8:$D$42))+1,""),ROW()-664)),"")</f>
        <v>https://www.crtm.es/muevete-por-madrid/</v>
      </c>
      <c r="D669" s="130" t="s">
        <v>27</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conexiones con aeropuerto y principales estaciones</v>
      </c>
      <c r="C670" s="114" t="str" cm="1">
        <f t="array" ref="C670">IFERROR(INDEX('03.Muestra'!$F$8:$F$42,SMALL(IF("Página Web"='03.Muestra'!$D$8:$D$42,ROW('03.Muestra'!$F$8:$F$42)-MIN(ROW('03.Muestra'!$D$8:$D$42))+1,""),ROW()-664)),"")</f>
        <v xml:space="preserve">https://www.crtm.es/muevete-por-madrid/conexiones-con-aeropuerto-y-principales-estaciones/ </v>
      </c>
      <c r="D670" s="130" t="s">
        <v>27</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Atención desplazados Ucranianos</v>
      </c>
      <c r="C671" s="114" t="str" cm="1">
        <f t="array" ref="C671">IFERROR(INDEX('03.Muestra'!$F$8:$F$42,SMALL(IF("Página Web"='03.Muestra'!$D$8:$D$42,ROW('03.Muestra'!$F$8:$F$42)-MIN(ROW('03.Muestra'!$D$8:$D$42))+1,""),ROW()-664)),"")</f>
        <v>https://www.crtm.es/atencion-desplazados-ucranianos/#item3</v>
      </c>
      <c r="D671" s="130" t="s">
        <v>27</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Preguntas frecuentes (Tarjeta transporte público personal)</v>
      </c>
      <c r="C672" s="114" t="str" cm="1">
        <f t="array" ref="C672">IFERROR(INDEX('03.Muestra'!$F$8:$F$42,SMALL(IF("Página Web"='03.Muestra'!$D$8:$D$42,ROW('03.Muestra'!$F$8:$F$42)-MIN(ROW('03.Muestra'!$D$8:$D$42))+1,""),ROW()-664)),"")</f>
        <v xml:space="preserve"> https://www.crtm.es/billetes-y-tarifas/tarjeta-transporte-publico/preguntas-frecuentes/#item23</v>
      </c>
      <c r="D672" s="130" t="s">
        <v>27</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Billetes y abonos (Metro)</v>
      </c>
      <c r="C673" s="114" t="str" cm="1">
        <f t="array" ref="C673">IFERROR(INDEX('03.Muestra'!$F$8:$F$42,SMALL(IF("Página Web"='03.Muestra'!$D$8:$D$42,ROW('03.Muestra'!$F$8:$F$42)-MIN(ROW('03.Muestra'!$D$8:$D$42))+1,""),ROW()-664)),"")</f>
        <v>https://www.crtm.es/billetes-y-tarifas/billetes-y-abonos/metro/?idPestana=1&amp;lang=#item10</v>
      </c>
      <c r="D673" s="130" t="s">
        <v>27</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Billetes y tarifas (App)</v>
      </c>
      <c r="C674" s="114" t="str" cm="1">
        <f t="array" ref="C674">IFERROR(INDEX('03.Muestra'!$F$8:$F$42,SMALL(IF("Página Web"='03.Muestra'!$D$8:$D$42,ROW('03.Muestra'!$F$8:$F$42)-MIN(ROW('03.Muestra'!$D$8:$D$42))+1,""),ROW()-664)),"")</f>
        <v>https://www.crtm.es/billetes-y-tarifas/apps/</v>
      </c>
      <c r="D674" s="130" t="s">
        <v>27</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Atención al cliente</v>
      </c>
      <c r="C675" s="114" t="str" cm="1">
        <f t="array" ref="C675">IFERROR(INDEX('03.Muestra'!$F$8:$F$42,SMALL(IF("Página Web"='03.Muestra'!$D$8:$D$42,ROW('03.Muestra'!$F$8:$F$42)-MIN(ROW('03.Muestra'!$D$8:$D$42))+1,""),ROW()-664)),"")</f>
        <v>https://www.crtm.es/atencion-al-cliente/</v>
      </c>
      <c r="D675" s="130" t="s">
        <v>27</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Conócenos</v>
      </c>
      <c r="C676" s="114" t="str" cm="1">
        <f t="array" ref="C676">IFERROR(INDEX('03.Muestra'!$F$8:$F$42,SMALL(IF("Página Web"='03.Muestra'!$D$8:$D$42,ROW('03.Muestra'!$F$8:$F$42)-MIN(ROW('03.Muestra'!$D$8:$D$42))+1,""),ROW()-664)),"")</f>
        <v>https://www.crtm.es/conocenos/#CentrodeDocumentacion</v>
      </c>
      <c r="D676" s="130" t="s">
        <v>27</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Actualidad del servicio</v>
      </c>
      <c r="C677" s="114" t="str" cm="1">
        <f t="array" ref="C677">IFERROR(INDEX('03.Muestra'!$F$8:$F$42,SMALL(IF("Página Web"='03.Muestra'!$D$8:$D$42,ROW('03.Muestra'!$F$8:$F$42)-MIN(ROW('03.Muestra'!$D$8:$D$42))+1,""),ROW()-664)),"")</f>
        <v>https://www.crtm.es/comunicacion/actualidad-del-servicio/?idPestana=1&amp;lang=es</v>
      </c>
      <c r="D677" s="130" t="s">
        <v>27</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Galería de fotos</v>
      </c>
      <c r="C678" s="114" t="str" cm="1">
        <f t="array" ref="C678">IFERROR(INDEX('03.Muestra'!$F$8:$F$42,SMALL(IF("Página Web"='03.Muestra'!$D$8:$D$42,ROW('03.Muestra'!$F$8:$F$42)-MIN(ROW('03.Muestra'!$D$8:$D$42))+1,""),ROW()-664)),"")</f>
        <v>https://www.crtm.es/comunicacion/multimedia/galeria-de-fotos/</v>
      </c>
      <c r="D678" s="130" t="s">
        <v>27</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Mapa web</v>
      </c>
      <c r="C679" s="114" t="str" cm="1">
        <f t="array" ref="C679">IFERROR(INDEX('03.Muestra'!$F$8:$F$42,SMALL(IF("Página Web"='03.Muestra'!$D$8:$D$42,ROW('03.Muestra'!$F$8:$F$42)-MIN(ROW('03.Muestra'!$D$8:$D$42))+1,""),ROW()-664)),"")</f>
        <v>https://www.crtm.es/mapa-web</v>
      </c>
      <c r="D679" s="130" t="s">
        <v>27</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Protección de datos</v>
      </c>
      <c r="C680" s="114" t="str" cm="1">
        <f t="array" ref="C680">IFERROR(INDEX('03.Muestra'!$F$8:$F$42,SMALL(IF("Página Web"='03.Muestra'!$D$8:$D$42,ROW('03.Muestra'!$F$8:$F$42)-MIN(ROW('03.Muestra'!$D$8:$D$42))+1,""),ROW()-664)),"")</f>
        <v>https://www.crtm.es/proteccion-de-datos</v>
      </c>
      <c r="D680" s="130" t="s">
        <v>27</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Política de cookies</v>
      </c>
      <c r="C681" s="114" t="str" cm="1">
        <f t="array" ref="C681">IFERROR(INDEX('03.Muestra'!$F$8:$F$42,SMALL(IF("Página Web"='03.Muestra'!$D$8:$D$42,ROW('03.Muestra'!$F$8:$F$42)-MIN(ROW('03.Muestra'!$D$8:$D$42))+1,""),ROW()-664)),"")</f>
        <v>https://www.crtm.es/politica-de-cookies</v>
      </c>
      <c r="D681" s="130" t="s">
        <v>27</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Aviso Legal</v>
      </c>
      <c r="C682" s="114" t="str" cm="1">
        <f t="array" ref="C682">IFERROR(INDEX('03.Muestra'!$F$8:$F$42,SMALL(IF("Página Web"='03.Muestra'!$D$8:$D$42,ROW('03.Muestra'!$F$8:$F$42)-MIN(ROW('03.Muestra'!$D$8:$D$42))+1,""),ROW()-664)),"")</f>
        <v>https://www.crtm.es/aviso-legal</v>
      </c>
      <c r="D682" s="130" t="s">
        <v>27</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Normativa</v>
      </c>
      <c r="C683" s="114" t="str" cm="1">
        <f t="array" ref="C683">IFERROR(INDEX('03.Muestra'!$F$8:$F$42,SMALL(IF("Página Web"='03.Muestra'!$D$8:$D$42,ROW('03.Muestra'!$F$8:$F$42)-MIN(ROW('03.Muestra'!$D$8:$D$42))+1,""),ROW()-664)),"")</f>
        <v>https://www.crtm.es/normativa</v>
      </c>
      <c r="D683" s="130" t="s">
        <v>27</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Accesibilidad</v>
      </c>
      <c r="C684" s="114" t="str" cm="1">
        <f t="array" ref="C684">IFERROR(INDEX('03.Muestra'!$F$8:$F$42,SMALL(IF("Página Web"='03.Muestra'!$D$8:$D$42,ROW('03.Muestra'!$F$8:$F$42)-MIN(ROW('03.Muestra'!$D$8:$D$42))+1,""),ROW()-664)),"")</f>
        <v>https://www.crtm.es/accesibilidad</v>
      </c>
      <c r="D684" s="130" t="s">
        <v>27</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cm="1">
        <f t="array" ref="A685">IFERROR(INDEX('03.Muestra'!$B$8:$B$42,SMALL(IF("Página Web"='03.Muestra'!$D$8:$D$42,ROW('03.Muestra'!$B$8:$B$42)-MIN(ROW('03.Muestra'!$D$8:$D$42))+1,""),ROW()-664)),"")</f>
        <v>21</v>
      </c>
      <c r="B685" s="114" t="str" cm="1">
        <f t="array" ref="B685">IFERROR(INDEX('03.Muestra'!$C$8:$C$42,SMALL(IF("Página Web"='03.Muestra'!$D$8:$D$42,ROW('03.Muestra'!$C$8:$C$42)-MIN(ROW('03.Muestra'!$D$8:$D$42))+1,""),ROW()-664)),"")</f>
        <v>Modo accesible</v>
      </c>
      <c r="C685" s="114" t="str" cm="1">
        <f t="array" ref="C685">IFERROR(INDEX('03.Muestra'!$F$8:$F$42,SMALL(IF("Página Web"='03.Muestra'!$D$8:$D$42,ROW('03.Muestra'!$F$8:$F$42)-MIN(ROW('03.Muestra'!$D$8:$D$42))+1,""),ROW()-664)),"")</f>
        <v>https://www.crtm.es/</v>
      </c>
      <c r="D685" s="130" t="s">
        <v>34</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ref="D686:D699" si="35">IF(AND(B686&lt;&gt;"",C686&lt;&gt;""),"N/T","")</f>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https://www.crtm.es/</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Red de metro</v>
      </c>
      <c r="C704" s="114" t="str" cm="1">
        <f t="array" ref="C704">IFERROR(INDEX('03.Muestra'!$F$8:$F$42,SMALL(IF("Página Web"='03.Muestra'!$D$8:$D$42,ROW('03.Muestra'!$F$8:$F$42)-MIN(ROW('03.Muestra'!$D$8:$D$42))+1,""),ROW()-702)),"")</f>
        <v>https://www.crtm.es/tu-transporte-publico/metro/</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21</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Líneas de metro</v>
      </c>
      <c r="C705" s="114" t="str" cm="1">
        <f t="array" ref="C705">IFERROR(INDEX('03.Muestra'!$F$8:$F$42,SMALL(IF("Página Web"='03.Muestra'!$D$8:$D$42,ROW('03.Muestra'!$F$8:$F$42)-MIN(ROW('03.Muestra'!$D$8:$D$42))+1,""),ROW()-702)),"")</f>
        <v>https://www.crtm.es/tu-transporte-publico/metro/lineas/4__1___</v>
      </c>
      <c r="D705" s="130" t="s">
        <v>34</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Estaciones Aeropuerto T1-T2-T3</v>
      </c>
      <c r="C706" s="114" t="str" cm="1">
        <f t="array" ref="C706">IFERROR(INDEX('03.Muestra'!$F$8:$F$42,SMALL(IF("Página Web"='03.Muestra'!$D$8:$D$42,ROW('03.Muestra'!$F$8:$F$42)-MIN(ROW('03.Muestra'!$D$8:$D$42))+1,""),ROW()-702)),"")</f>
        <v>https://www.crtm.es/tu-transporte-publico/metro/estaciones/4_159</v>
      </c>
      <c r="D706" s="130" t="s">
        <v>34</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Muévete por Madrid</v>
      </c>
      <c r="C707" s="114" t="str" cm="1">
        <f t="array" ref="C707">IFERROR(INDEX('03.Muestra'!$F$8:$F$42,SMALL(IF("Página Web"='03.Muestra'!$D$8:$D$42,ROW('03.Muestra'!$F$8:$F$42)-MIN(ROW('03.Muestra'!$D$8:$D$42))+1,""),ROW()-702)),"")</f>
        <v>https://www.crtm.es/muevete-por-madrid/</v>
      </c>
      <c r="D707" s="130" t="s">
        <v>34</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conexiones con aeropuerto y principales estaciones</v>
      </c>
      <c r="C708" s="114" t="str" cm="1">
        <f t="array" ref="C708">IFERROR(INDEX('03.Muestra'!$F$8:$F$42,SMALL(IF("Página Web"='03.Muestra'!$D$8:$D$42,ROW('03.Muestra'!$F$8:$F$42)-MIN(ROW('03.Muestra'!$D$8:$D$42))+1,""),ROW()-702)),"")</f>
        <v xml:space="preserve">https://www.crtm.es/muevete-por-madrid/conexiones-con-aeropuerto-y-principales-estaciones/ </v>
      </c>
      <c r="D708" s="130" t="s">
        <v>34</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Atención desplazados Ucranianos</v>
      </c>
      <c r="C709" s="114" t="str" cm="1">
        <f t="array" ref="C709">IFERROR(INDEX('03.Muestra'!$F$8:$F$42,SMALL(IF("Página Web"='03.Muestra'!$D$8:$D$42,ROW('03.Muestra'!$F$8:$F$42)-MIN(ROW('03.Muestra'!$D$8:$D$42))+1,""),ROW()-702)),"")</f>
        <v>https://www.crtm.es/atencion-desplazados-ucranianos/#item3</v>
      </c>
      <c r="D709" s="130" t="s">
        <v>34</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Preguntas frecuentes (Tarjeta transporte público personal)</v>
      </c>
      <c r="C710" s="114" t="str" cm="1">
        <f t="array" ref="C710">IFERROR(INDEX('03.Muestra'!$F$8:$F$42,SMALL(IF("Página Web"='03.Muestra'!$D$8:$D$42,ROW('03.Muestra'!$F$8:$F$42)-MIN(ROW('03.Muestra'!$D$8:$D$42))+1,""),ROW()-702)),"")</f>
        <v xml:space="preserve"> https://www.crtm.es/billetes-y-tarifas/tarjeta-transporte-publico/preguntas-frecuentes/#item23</v>
      </c>
      <c r="D710" s="130" t="s">
        <v>34</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Billetes y abonos (Metro)</v>
      </c>
      <c r="C711" s="114" t="str" cm="1">
        <f t="array" ref="C711">IFERROR(INDEX('03.Muestra'!$F$8:$F$42,SMALL(IF("Página Web"='03.Muestra'!$D$8:$D$42,ROW('03.Muestra'!$F$8:$F$42)-MIN(ROW('03.Muestra'!$D$8:$D$42))+1,""),ROW()-702)),"")</f>
        <v>https://www.crtm.es/billetes-y-tarifas/billetes-y-abonos/metro/?idPestana=1&amp;lang=#item10</v>
      </c>
      <c r="D711" s="130" t="s">
        <v>34</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Billetes y tarifas (App)</v>
      </c>
      <c r="C712" s="114" t="str" cm="1">
        <f t="array" ref="C712">IFERROR(INDEX('03.Muestra'!$F$8:$F$42,SMALL(IF("Página Web"='03.Muestra'!$D$8:$D$42,ROW('03.Muestra'!$F$8:$F$42)-MIN(ROW('03.Muestra'!$D$8:$D$42))+1,""),ROW()-702)),"")</f>
        <v>https://www.crtm.es/billetes-y-tarifas/apps/</v>
      </c>
      <c r="D712" s="130" t="s">
        <v>34</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Atención al cliente</v>
      </c>
      <c r="C713" s="114" t="str" cm="1">
        <f t="array" ref="C713">IFERROR(INDEX('03.Muestra'!$F$8:$F$42,SMALL(IF("Página Web"='03.Muestra'!$D$8:$D$42,ROW('03.Muestra'!$F$8:$F$42)-MIN(ROW('03.Muestra'!$D$8:$D$42))+1,""),ROW()-702)),"")</f>
        <v>https://www.crtm.es/atencion-al-cliente/</v>
      </c>
      <c r="D713" s="130" t="s">
        <v>34</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Conócenos</v>
      </c>
      <c r="C714" s="114" t="str" cm="1">
        <f t="array" ref="C714">IFERROR(INDEX('03.Muestra'!$F$8:$F$42,SMALL(IF("Página Web"='03.Muestra'!$D$8:$D$42,ROW('03.Muestra'!$F$8:$F$42)-MIN(ROW('03.Muestra'!$D$8:$D$42))+1,""),ROW()-702)),"")</f>
        <v>https://www.crtm.es/conocenos/#CentrodeDocumentacion</v>
      </c>
      <c r="D714" s="130" t="s">
        <v>34</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Actualidad del servicio</v>
      </c>
      <c r="C715" s="114" t="str" cm="1">
        <f t="array" ref="C715">IFERROR(INDEX('03.Muestra'!$F$8:$F$42,SMALL(IF("Página Web"='03.Muestra'!$D$8:$D$42,ROW('03.Muestra'!$F$8:$F$42)-MIN(ROW('03.Muestra'!$D$8:$D$42))+1,""),ROW()-702)),"")</f>
        <v>https://www.crtm.es/comunicacion/actualidad-del-servicio/?idPestana=1&amp;lang=es</v>
      </c>
      <c r="D715" s="130" t="s">
        <v>34</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Galería de fotos</v>
      </c>
      <c r="C716" s="114" t="str" cm="1">
        <f t="array" ref="C716">IFERROR(INDEX('03.Muestra'!$F$8:$F$42,SMALL(IF("Página Web"='03.Muestra'!$D$8:$D$42,ROW('03.Muestra'!$F$8:$F$42)-MIN(ROW('03.Muestra'!$D$8:$D$42))+1,""),ROW()-702)),"")</f>
        <v>https://www.crtm.es/comunicacion/multimedia/galeria-de-fotos/</v>
      </c>
      <c r="D716" s="130" t="s">
        <v>34</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Mapa web</v>
      </c>
      <c r="C717" s="114" t="str" cm="1">
        <f t="array" ref="C717">IFERROR(INDEX('03.Muestra'!$F$8:$F$42,SMALL(IF("Página Web"='03.Muestra'!$D$8:$D$42,ROW('03.Muestra'!$F$8:$F$42)-MIN(ROW('03.Muestra'!$D$8:$D$42))+1,""),ROW()-702)),"")</f>
        <v>https://www.crtm.es/mapa-web</v>
      </c>
      <c r="D717" s="130" t="s">
        <v>34</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Protección de datos</v>
      </c>
      <c r="C718" s="114" t="str" cm="1">
        <f t="array" ref="C718">IFERROR(INDEX('03.Muestra'!$F$8:$F$42,SMALL(IF("Página Web"='03.Muestra'!$D$8:$D$42,ROW('03.Muestra'!$F$8:$F$42)-MIN(ROW('03.Muestra'!$D$8:$D$42))+1,""),ROW()-702)),"")</f>
        <v>https://www.crtm.es/proteccion-de-datos</v>
      </c>
      <c r="D718" s="130" t="s">
        <v>34</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Política de cookies</v>
      </c>
      <c r="C719" s="114" t="str" cm="1">
        <f t="array" ref="C719">IFERROR(INDEX('03.Muestra'!$F$8:$F$42,SMALL(IF("Página Web"='03.Muestra'!$D$8:$D$42,ROW('03.Muestra'!$F$8:$F$42)-MIN(ROW('03.Muestra'!$D$8:$D$42))+1,""),ROW()-702)),"")</f>
        <v>https://www.crtm.es/politica-de-cookies</v>
      </c>
      <c r="D719" s="130" t="s">
        <v>34</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Aviso Legal</v>
      </c>
      <c r="C720" s="114" t="str" cm="1">
        <f t="array" ref="C720">IFERROR(INDEX('03.Muestra'!$F$8:$F$42,SMALL(IF("Página Web"='03.Muestra'!$D$8:$D$42,ROW('03.Muestra'!$F$8:$F$42)-MIN(ROW('03.Muestra'!$D$8:$D$42))+1,""),ROW()-702)),"")</f>
        <v>https://www.crtm.es/aviso-legal</v>
      </c>
      <c r="D720" s="130" t="s">
        <v>34</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Normativa</v>
      </c>
      <c r="C721" s="114" t="str" cm="1">
        <f t="array" ref="C721">IFERROR(INDEX('03.Muestra'!$F$8:$F$42,SMALL(IF("Página Web"='03.Muestra'!$D$8:$D$42,ROW('03.Muestra'!$F$8:$F$42)-MIN(ROW('03.Muestra'!$D$8:$D$42))+1,""),ROW()-702)),"")</f>
        <v>https://www.crtm.es/normativa</v>
      </c>
      <c r="D721" s="130" t="s">
        <v>34</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Accesibilidad</v>
      </c>
      <c r="C722" s="114" t="str" cm="1">
        <f t="array" ref="C722">IFERROR(INDEX('03.Muestra'!$F$8:$F$42,SMALL(IF("Página Web"='03.Muestra'!$D$8:$D$42,ROW('03.Muestra'!$F$8:$F$42)-MIN(ROW('03.Muestra'!$D$8:$D$42))+1,""),ROW()-702)),"")</f>
        <v>https://www.crtm.es/accesibilidad</v>
      </c>
      <c r="D722" s="130" t="s">
        <v>34</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cm="1">
        <f t="array" ref="A723">IFERROR(INDEX('03.Muestra'!$B$8:$B$42,SMALL(IF("Página Web"='03.Muestra'!$D$8:$D$42,ROW('03.Muestra'!$B$8:$B$42)-MIN(ROW('03.Muestra'!$D$8:$D$42))+1,""),ROW()-702)),"")</f>
        <v>21</v>
      </c>
      <c r="B723" s="114" t="str" cm="1">
        <f t="array" ref="B723">IFERROR(INDEX('03.Muestra'!$C$8:$C$42,SMALL(IF("Página Web"='03.Muestra'!$D$8:$D$42,ROW('03.Muestra'!$C$8:$C$42)-MIN(ROW('03.Muestra'!$D$8:$D$42))+1,""),ROW()-702)),"")</f>
        <v>Modo accesible</v>
      </c>
      <c r="C723" s="114" t="str" cm="1">
        <f t="array" ref="C723">IFERROR(INDEX('03.Muestra'!$F$8:$F$42,SMALL(IF("Página Web"='03.Muestra'!$D$8:$D$42,ROW('03.Muestra'!$F$8:$F$42)-MIN(ROW('03.Muestra'!$D$8:$D$42))+1,""),ROW()-702)),"")</f>
        <v>https://www.crtm.es/</v>
      </c>
      <c r="D723" s="130" t="s">
        <v>34</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ref="D724:D737" si="37">IF(AND(B724&lt;&gt;"",C724&lt;&gt;""),"N/T","")</f>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https://www.crtm.es/</v>
      </c>
      <c r="D741" s="130" t="s">
        <v>25</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Red de metro</v>
      </c>
      <c r="C742" s="114" t="str" cm="1">
        <f t="array" ref="C742">IFERROR(INDEX('03.Muestra'!$F$8:$F$42,SMALL(IF("Página Web"='03.Muestra'!$D$8:$D$42,ROW('03.Muestra'!$F$8:$F$42)-MIN(ROW('03.Muestra'!$D$8:$D$42))+1,""),ROW()-740)),"")</f>
        <v>https://www.crtm.es/tu-transporte-publico/metro/</v>
      </c>
      <c r="D742" s="130" t="s">
        <v>25</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3</v>
      </c>
      <c r="J742" s="120">
        <f ca="1">COUNTIF($D741:INDIRECT("$D" &amp;  SUM(ROW()-1,'03.Muestra'!$D$45)-1),J741)</f>
        <v>18</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Líneas de metro</v>
      </c>
      <c r="C743" s="114" t="str" cm="1">
        <f t="array" ref="C743">IFERROR(INDEX('03.Muestra'!$F$8:$F$42,SMALL(IF("Página Web"='03.Muestra'!$D$8:$D$42,ROW('03.Muestra'!$F$8:$F$42)-MIN(ROW('03.Muestra'!$D$8:$D$42))+1,""),ROW()-740)),"")</f>
        <v>https://www.crtm.es/tu-transporte-publico/metro/lineas/4__1___</v>
      </c>
      <c r="D743" s="130" t="s">
        <v>27</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Estaciones Aeropuerto T1-T2-T3</v>
      </c>
      <c r="C744" s="114" t="str" cm="1">
        <f t="array" ref="C744">IFERROR(INDEX('03.Muestra'!$F$8:$F$42,SMALL(IF("Página Web"='03.Muestra'!$D$8:$D$42,ROW('03.Muestra'!$F$8:$F$42)-MIN(ROW('03.Muestra'!$D$8:$D$42))+1,""),ROW()-740)),"")</f>
        <v>https://www.crtm.es/tu-transporte-publico/metro/estaciones/4_159</v>
      </c>
      <c r="D744" s="130" t="s">
        <v>25</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Muévete por Madrid</v>
      </c>
      <c r="C745" s="114" t="str" cm="1">
        <f t="array" ref="C745">IFERROR(INDEX('03.Muestra'!$F$8:$F$42,SMALL(IF("Página Web"='03.Muestra'!$D$8:$D$42,ROW('03.Muestra'!$F$8:$F$42)-MIN(ROW('03.Muestra'!$D$8:$D$42))+1,""),ROW()-740)),"")</f>
        <v>https://www.crtm.es/muevete-por-madrid/</v>
      </c>
      <c r="D745" s="130" t="s">
        <v>27</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conexiones con aeropuerto y principales estaciones</v>
      </c>
      <c r="C746" s="114" t="str" cm="1">
        <f t="array" ref="C746">IFERROR(INDEX('03.Muestra'!$F$8:$F$42,SMALL(IF("Página Web"='03.Muestra'!$D$8:$D$42,ROW('03.Muestra'!$F$8:$F$42)-MIN(ROW('03.Muestra'!$D$8:$D$42))+1,""),ROW()-740)),"")</f>
        <v xml:space="preserve">https://www.crtm.es/muevete-por-madrid/conexiones-con-aeropuerto-y-principales-estaciones/ </v>
      </c>
      <c r="D746" s="130" t="s">
        <v>25</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Atención desplazados Ucranianos</v>
      </c>
      <c r="C747" s="114" t="str" cm="1">
        <f t="array" ref="C747">IFERROR(INDEX('03.Muestra'!$F$8:$F$42,SMALL(IF("Página Web"='03.Muestra'!$D$8:$D$42,ROW('03.Muestra'!$F$8:$F$42)-MIN(ROW('03.Muestra'!$D$8:$D$42))+1,""),ROW()-740)),"")</f>
        <v>https://www.crtm.es/atencion-desplazados-ucranianos/#item3</v>
      </c>
      <c r="D747" s="130" t="s">
        <v>25</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Preguntas frecuentes (Tarjeta transporte público personal)</v>
      </c>
      <c r="C748" s="114" t="str" cm="1">
        <f t="array" ref="C748">IFERROR(INDEX('03.Muestra'!$F$8:$F$42,SMALL(IF("Página Web"='03.Muestra'!$D$8:$D$42,ROW('03.Muestra'!$F$8:$F$42)-MIN(ROW('03.Muestra'!$D$8:$D$42))+1,""),ROW()-740)),"")</f>
        <v xml:space="preserve"> https://www.crtm.es/billetes-y-tarifas/tarjeta-transporte-publico/preguntas-frecuentes/#item23</v>
      </c>
      <c r="D748" s="130" t="s">
        <v>25</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Billetes y abonos (Metro)</v>
      </c>
      <c r="C749" s="114" t="str" cm="1">
        <f t="array" ref="C749">IFERROR(INDEX('03.Muestra'!$F$8:$F$42,SMALL(IF("Página Web"='03.Muestra'!$D$8:$D$42,ROW('03.Muestra'!$F$8:$F$42)-MIN(ROW('03.Muestra'!$D$8:$D$42))+1,""),ROW()-740)),"")</f>
        <v>https://www.crtm.es/billetes-y-tarifas/billetes-y-abonos/metro/?idPestana=1&amp;lang=#item10</v>
      </c>
      <c r="D749" s="130" t="s">
        <v>25</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Billetes y tarifas (App)</v>
      </c>
      <c r="C750" s="114" t="str" cm="1">
        <f t="array" ref="C750">IFERROR(INDEX('03.Muestra'!$F$8:$F$42,SMALL(IF("Página Web"='03.Muestra'!$D$8:$D$42,ROW('03.Muestra'!$F$8:$F$42)-MIN(ROW('03.Muestra'!$D$8:$D$42))+1,""),ROW()-740)),"")</f>
        <v>https://www.crtm.es/billetes-y-tarifas/apps/</v>
      </c>
      <c r="D750" s="130" t="s">
        <v>25</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Atención al cliente</v>
      </c>
      <c r="C751" s="114" t="str" cm="1">
        <f t="array" ref="C751">IFERROR(INDEX('03.Muestra'!$F$8:$F$42,SMALL(IF("Página Web"='03.Muestra'!$D$8:$D$42,ROW('03.Muestra'!$F$8:$F$42)-MIN(ROW('03.Muestra'!$D$8:$D$42))+1,""),ROW()-740)),"")</f>
        <v>https://www.crtm.es/atencion-al-cliente/</v>
      </c>
      <c r="D751" s="130" t="s">
        <v>27</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Conócenos</v>
      </c>
      <c r="C752" s="114" t="str" cm="1">
        <f t="array" ref="C752">IFERROR(INDEX('03.Muestra'!$F$8:$F$42,SMALL(IF("Página Web"='03.Muestra'!$D$8:$D$42,ROW('03.Muestra'!$F$8:$F$42)-MIN(ROW('03.Muestra'!$D$8:$D$42))+1,""),ROW()-740)),"")</f>
        <v>https://www.crtm.es/conocenos/#CentrodeDocumentacion</v>
      </c>
      <c r="D752" s="130" t="s">
        <v>25</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Actualidad del servicio</v>
      </c>
      <c r="C753" s="114" t="str" cm="1">
        <f t="array" ref="C753">IFERROR(INDEX('03.Muestra'!$F$8:$F$42,SMALL(IF("Página Web"='03.Muestra'!$D$8:$D$42,ROW('03.Muestra'!$F$8:$F$42)-MIN(ROW('03.Muestra'!$D$8:$D$42))+1,""),ROW()-740)),"")</f>
        <v>https://www.crtm.es/comunicacion/actualidad-del-servicio/?idPestana=1&amp;lang=es</v>
      </c>
      <c r="D753" s="130" t="s">
        <v>25</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Galería de fotos</v>
      </c>
      <c r="C754" s="114" t="str" cm="1">
        <f t="array" ref="C754">IFERROR(INDEX('03.Muestra'!$F$8:$F$42,SMALL(IF("Página Web"='03.Muestra'!$D$8:$D$42,ROW('03.Muestra'!$F$8:$F$42)-MIN(ROW('03.Muestra'!$D$8:$D$42))+1,""),ROW()-740)),"")</f>
        <v>https://www.crtm.es/comunicacion/multimedia/galeria-de-fotos/</v>
      </c>
      <c r="D754" s="130" t="s">
        <v>25</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Mapa web</v>
      </c>
      <c r="C755" s="114" t="str" cm="1">
        <f t="array" ref="C755">IFERROR(INDEX('03.Muestra'!$F$8:$F$42,SMALL(IF("Página Web"='03.Muestra'!$D$8:$D$42,ROW('03.Muestra'!$F$8:$F$42)-MIN(ROW('03.Muestra'!$D$8:$D$42))+1,""),ROW()-740)),"")</f>
        <v>https://www.crtm.es/mapa-web</v>
      </c>
      <c r="D755" s="130" t="s">
        <v>25</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Protección de datos</v>
      </c>
      <c r="C756" s="114" t="str" cm="1">
        <f t="array" ref="C756">IFERROR(INDEX('03.Muestra'!$F$8:$F$42,SMALL(IF("Página Web"='03.Muestra'!$D$8:$D$42,ROW('03.Muestra'!$F$8:$F$42)-MIN(ROW('03.Muestra'!$D$8:$D$42))+1,""),ROW()-740)),"")</f>
        <v>https://www.crtm.es/proteccion-de-datos</v>
      </c>
      <c r="D756" s="130" t="s">
        <v>25</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Política de cookies</v>
      </c>
      <c r="C757" s="114" t="str" cm="1">
        <f t="array" ref="C757">IFERROR(INDEX('03.Muestra'!$F$8:$F$42,SMALL(IF("Página Web"='03.Muestra'!$D$8:$D$42,ROW('03.Muestra'!$F$8:$F$42)-MIN(ROW('03.Muestra'!$D$8:$D$42))+1,""),ROW()-740)),"")</f>
        <v>https://www.crtm.es/politica-de-cookies</v>
      </c>
      <c r="D757" s="130" t="s">
        <v>25</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cm="1">
        <f t="array" ref="A758">IFERROR(INDEX('03.Muestra'!$B$8:$B$42,SMALL(IF("Página Web"='03.Muestra'!$D$8:$D$42,ROW('03.Muestra'!$B$8:$B$42)-MIN(ROW('03.Muestra'!$D$8:$D$42))+1,""),ROW()-740)),"")</f>
        <v>18</v>
      </c>
      <c r="B758" s="114" t="str" cm="1">
        <f t="array" ref="B758">IFERROR(INDEX('03.Muestra'!$C$8:$C$42,SMALL(IF("Página Web"='03.Muestra'!$D$8:$D$42,ROW('03.Muestra'!$C$8:$C$42)-MIN(ROW('03.Muestra'!$D$8:$D$42))+1,""),ROW()-740)),"")</f>
        <v>Aviso Legal</v>
      </c>
      <c r="C758" s="114" t="str" cm="1">
        <f t="array" ref="C758">IFERROR(INDEX('03.Muestra'!$F$8:$F$42,SMALL(IF("Página Web"='03.Muestra'!$D$8:$D$42,ROW('03.Muestra'!$F$8:$F$42)-MIN(ROW('03.Muestra'!$D$8:$D$42))+1,""),ROW()-740)),"")</f>
        <v>https://www.crtm.es/aviso-legal</v>
      </c>
      <c r="D758" s="130" t="s">
        <v>25</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cm="1">
        <f t="array" ref="A759">IFERROR(INDEX('03.Muestra'!$B$8:$B$42,SMALL(IF("Página Web"='03.Muestra'!$D$8:$D$42,ROW('03.Muestra'!$B$8:$B$42)-MIN(ROW('03.Muestra'!$D$8:$D$42))+1,""),ROW()-740)),"")</f>
        <v>19</v>
      </c>
      <c r="B759" s="114" t="str" cm="1">
        <f t="array" ref="B759">IFERROR(INDEX('03.Muestra'!$C$8:$C$42,SMALL(IF("Página Web"='03.Muestra'!$D$8:$D$42,ROW('03.Muestra'!$C$8:$C$42)-MIN(ROW('03.Muestra'!$D$8:$D$42))+1,""),ROW()-740)),"")</f>
        <v>Normativa</v>
      </c>
      <c r="C759" s="114" t="str" cm="1">
        <f t="array" ref="C759">IFERROR(INDEX('03.Muestra'!$F$8:$F$42,SMALL(IF("Página Web"='03.Muestra'!$D$8:$D$42,ROW('03.Muestra'!$F$8:$F$42)-MIN(ROW('03.Muestra'!$D$8:$D$42))+1,""),ROW()-740)),"")</f>
        <v>https://www.crtm.es/normativa</v>
      </c>
      <c r="D759" s="130" t="s">
        <v>25</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cm="1">
        <f t="array" ref="A760">IFERROR(INDEX('03.Muestra'!$B$8:$B$42,SMALL(IF("Página Web"='03.Muestra'!$D$8:$D$42,ROW('03.Muestra'!$B$8:$B$42)-MIN(ROW('03.Muestra'!$D$8:$D$42))+1,""),ROW()-740)),"")</f>
        <v>20</v>
      </c>
      <c r="B760" s="114" t="str" cm="1">
        <f t="array" ref="B760">IFERROR(INDEX('03.Muestra'!$C$8:$C$42,SMALL(IF("Página Web"='03.Muestra'!$D$8:$D$42,ROW('03.Muestra'!$C$8:$C$42)-MIN(ROW('03.Muestra'!$D$8:$D$42))+1,""),ROW()-740)),"")</f>
        <v>Accesibilidad</v>
      </c>
      <c r="C760" s="114" t="str" cm="1">
        <f t="array" ref="C760">IFERROR(INDEX('03.Muestra'!$F$8:$F$42,SMALL(IF("Página Web"='03.Muestra'!$D$8:$D$42,ROW('03.Muestra'!$F$8:$F$42)-MIN(ROW('03.Muestra'!$D$8:$D$42))+1,""),ROW()-740)),"")</f>
        <v>https://www.crtm.es/accesibilidad</v>
      </c>
      <c r="D760" s="130" t="s">
        <v>25</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cm="1">
        <f t="array" ref="A761">IFERROR(INDEX('03.Muestra'!$B$8:$B$42,SMALL(IF("Página Web"='03.Muestra'!$D$8:$D$42,ROW('03.Muestra'!$B$8:$B$42)-MIN(ROW('03.Muestra'!$D$8:$D$42))+1,""),ROW()-740)),"")</f>
        <v>21</v>
      </c>
      <c r="B761" s="114" t="str" cm="1">
        <f t="array" ref="B761">IFERROR(INDEX('03.Muestra'!$C$8:$C$42,SMALL(IF("Página Web"='03.Muestra'!$D$8:$D$42,ROW('03.Muestra'!$C$8:$C$42)-MIN(ROW('03.Muestra'!$D$8:$D$42))+1,""),ROW()-740)),"")</f>
        <v>Modo accesible</v>
      </c>
      <c r="C761" s="114" t="str" cm="1">
        <f t="array" ref="C761">IFERROR(INDEX('03.Muestra'!$F$8:$F$42,SMALL(IF("Página Web"='03.Muestra'!$D$8:$D$42,ROW('03.Muestra'!$F$8:$F$42)-MIN(ROW('03.Muestra'!$D$8:$D$42))+1,""),ROW()-740)),"")</f>
        <v>https://www.crtm.es/</v>
      </c>
      <c r="D761" s="130" t="s">
        <v>25</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ref="D762:D775" si="39">IF(AND(B762&lt;&gt;"",C762&lt;&gt;""),"N/T","")</f>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https://www.crtm.es/</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Red de metro</v>
      </c>
      <c r="C780" s="114" t="str" cm="1">
        <f t="array" ref="C780">IFERROR(INDEX('03.Muestra'!$F$8:$F$42,SMALL(IF("Página Web"='03.Muestra'!$D$8:$D$42,ROW('03.Muestra'!$F$8:$F$42)-MIN(ROW('03.Muestra'!$D$8:$D$42))+1,""),ROW()-778)),"")</f>
        <v>https://www.crtm.es/tu-transporte-publico/metro/</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21</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Líneas de metro</v>
      </c>
      <c r="C781" s="114" t="str" cm="1">
        <f t="array" ref="C781">IFERROR(INDEX('03.Muestra'!$F$8:$F$42,SMALL(IF("Página Web"='03.Muestra'!$D$8:$D$42,ROW('03.Muestra'!$F$8:$F$42)-MIN(ROW('03.Muestra'!$D$8:$D$42))+1,""),ROW()-778)),"")</f>
        <v>https://www.crtm.es/tu-transporte-publico/metro/lineas/4__1___</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Estaciones Aeropuerto T1-T2-T3</v>
      </c>
      <c r="C782" s="114" t="str" cm="1">
        <f t="array" ref="C782">IFERROR(INDEX('03.Muestra'!$F$8:$F$42,SMALL(IF("Página Web"='03.Muestra'!$D$8:$D$42,ROW('03.Muestra'!$F$8:$F$42)-MIN(ROW('03.Muestra'!$D$8:$D$42))+1,""),ROW()-778)),"")</f>
        <v>https://www.crtm.es/tu-transporte-publico/metro/estaciones/4_159</v>
      </c>
      <c r="D782" s="130" t="s">
        <v>25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Muévete por Madrid</v>
      </c>
      <c r="C783" s="114" t="str" cm="1">
        <f t="array" ref="C783">IFERROR(INDEX('03.Muestra'!$F$8:$F$42,SMALL(IF("Página Web"='03.Muestra'!$D$8:$D$42,ROW('03.Muestra'!$F$8:$F$42)-MIN(ROW('03.Muestra'!$D$8:$D$42))+1,""),ROW()-778)),"")</f>
        <v>https://www.crtm.es/muevete-por-madrid/</v>
      </c>
      <c r="D783" s="130" t="s">
        <v>25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conexiones con aeropuerto y principales estaciones</v>
      </c>
      <c r="C784" s="114" t="str" cm="1">
        <f t="array" ref="C784">IFERROR(INDEX('03.Muestra'!$F$8:$F$42,SMALL(IF("Página Web"='03.Muestra'!$D$8:$D$42,ROW('03.Muestra'!$F$8:$F$42)-MIN(ROW('03.Muestra'!$D$8:$D$42))+1,""),ROW()-778)),"")</f>
        <v xml:space="preserve">https://www.crtm.es/muevete-por-madrid/conexiones-con-aeropuerto-y-principales-estaciones/ </v>
      </c>
      <c r="D784" s="130" t="s">
        <v>25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Atención desplazados Ucranianos</v>
      </c>
      <c r="C785" s="114" t="str" cm="1">
        <f t="array" ref="C785">IFERROR(INDEX('03.Muestra'!$F$8:$F$42,SMALL(IF("Página Web"='03.Muestra'!$D$8:$D$42,ROW('03.Muestra'!$F$8:$F$42)-MIN(ROW('03.Muestra'!$D$8:$D$42))+1,""),ROW()-778)),"")</f>
        <v>https://www.crtm.es/atencion-desplazados-ucranianos/#item3</v>
      </c>
      <c r="D785" s="130" t="s">
        <v>25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Preguntas frecuentes (Tarjeta transporte público personal)</v>
      </c>
      <c r="C786" s="114" t="str" cm="1">
        <f t="array" ref="C786">IFERROR(INDEX('03.Muestra'!$F$8:$F$42,SMALL(IF("Página Web"='03.Muestra'!$D$8:$D$42,ROW('03.Muestra'!$F$8:$F$42)-MIN(ROW('03.Muestra'!$D$8:$D$42))+1,""),ROW()-778)),"")</f>
        <v xml:space="preserve"> https://www.crtm.es/billetes-y-tarifas/tarjeta-transporte-publico/preguntas-frecuentes/#item23</v>
      </c>
      <c r="D786" s="130" t="s">
        <v>25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Billetes y abonos (Metro)</v>
      </c>
      <c r="C787" s="114" t="str" cm="1">
        <f t="array" ref="C787">IFERROR(INDEX('03.Muestra'!$F$8:$F$42,SMALL(IF("Página Web"='03.Muestra'!$D$8:$D$42,ROW('03.Muestra'!$F$8:$F$42)-MIN(ROW('03.Muestra'!$D$8:$D$42))+1,""),ROW()-778)),"")</f>
        <v>https://www.crtm.es/billetes-y-tarifas/billetes-y-abonos/metro/?idPestana=1&amp;lang=#item10</v>
      </c>
      <c r="D787" s="130" t="s">
        <v>25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Billetes y tarifas (App)</v>
      </c>
      <c r="C788" s="114" t="str" cm="1">
        <f t="array" ref="C788">IFERROR(INDEX('03.Muestra'!$F$8:$F$42,SMALL(IF("Página Web"='03.Muestra'!$D$8:$D$42,ROW('03.Muestra'!$F$8:$F$42)-MIN(ROW('03.Muestra'!$D$8:$D$42))+1,""),ROW()-778)),"")</f>
        <v>https://www.crtm.es/billetes-y-tarifas/apps/</v>
      </c>
      <c r="D788" s="130" t="s">
        <v>25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Atención al cliente</v>
      </c>
      <c r="C789" s="114" t="str" cm="1">
        <f t="array" ref="C789">IFERROR(INDEX('03.Muestra'!$F$8:$F$42,SMALL(IF("Página Web"='03.Muestra'!$D$8:$D$42,ROW('03.Muestra'!$F$8:$F$42)-MIN(ROW('03.Muestra'!$D$8:$D$42))+1,""),ROW()-778)),"")</f>
        <v>https://www.crtm.es/atencion-al-cliente/</v>
      </c>
      <c r="D789" s="130" t="s">
        <v>25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Conócenos</v>
      </c>
      <c r="C790" s="114" t="str" cm="1">
        <f t="array" ref="C790">IFERROR(INDEX('03.Muestra'!$F$8:$F$42,SMALL(IF("Página Web"='03.Muestra'!$D$8:$D$42,ROW('03.Muestra'!$F$8:$F$42)-MIN(ROW('03.Muestra'!$D$8:$D$42))+1,""),ROW()-778)),"")</f>
        <v>https://www.crtm.es/conocenos/#CentrodeDocumentacion</v>
      </c>
      <c r="D790" s="130" t="s">
        <v>25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Actualidad del servicio</v>
      </c>
      <c r="C791" s="114" t="str" cm="1">
        <f t="array" ref="C791">IFERROR(INDEX('03.Muestra'!$F$8:$F$42,SMALL(IF("Página Web"='03.Muestra'!$D$8:$D$42,ROW('03.Muestra'!$F$8:$F$42)-MIN(ROW('03.Muestra'!$D$8:$D$42))+1,""),ROW()-778)),"")</f>
        <v>https://www.crtm.es/comunicacion/actualidad-del-servicio/?idPestana=1&amp;lang=es</v>
      </c>
      <c r="D791" s="130" t="s">
        <v>25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Galería de fotos</v>
      </c>
      <c r="C792" s="114" t="str" cm="1">
        <f t="array" ref="C792">IFERROR(INDEX('03.Muestra'!$F$8:$F$42,SMALL(IF("Página Web"='03.Muestra'!$D$8:$D$42,ROW('03.Muestra'!$F$8:$F$42)-MIN(ROW('03.Muestra'!$D$8:$D$42))+1,""),ROW()-778)),"")</f>
        <v>https://www.crtm.es/comunicacion/multimedia/galeria-de-fotos/</v>
      </c>
      <c r="D792" s="130" t="s">
        <v>25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Mapa web</v>
      </c>
      <c r="C793" s="114" t="str" cm="1">
        <f t="array" ref="C793">IFERROR(INDEX('03.Muestra'!$F$8:$F$42,SMALL(IF("Página Web"='03.Muestra'!$D$8:$D$42,ROW('03.Muestra'!$F$8:$F$42)-MIN(ROW('03.Muestra'!$D$8:$D$42))+1,""),ROW()-778)),"")</f>
        <v>https://www.crtm.es/mapa-web</v>
      </c>
      <c r="D793" s="130" t="s">
        <v>25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Protección de datos</v>
      </c>
      <c r="C794" s="114" t="str" cm="1">
        <f t="array" ref="C794">IFERROR(INDEX('03.Muestra'!$F$8:$F$42,SMALL(IF("Página Web"='03.Muestra'!$D$8:$D$42,ROW('03.Muestra'!$F$8:$F$42)-MIN(ROW('03.Muestra'!$D$8:$D$42))+1,""),ROW()-778)),"")</f>
        <v>https://www.crtm.es/proteccion-de-datos</v>
      </c>
      <c r="D794" s="130" t="s">
        <v>25</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Política de cookies</v>
      </c>
      <c r="C795" s="114" t="str" cm="1">
        <f t="array" ref="C795">IFERROR(INDEX('03.Muestra'!$F$8:$F$42,SMALL(IF("Página Web"='03.Muestra'!$D$8:$D$42,ROW('03.Muestra'!$F$8:$F$42)-MIN(ROW('03.Muestra'!$D$8:$D$42))+1,""),ROW()-778)),"")</f>
        <v>https://www.crtm.es/politica-de-cookies</v>
      </c>
      <c r="D795" s="130" t="s">
        <v>25</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cm="1">
        <f t="array" ref="A796">IFERROR(INDEX('03.Muestra'!$B$8:$B$42,SMALL(IF("Página Web"='03.Muestra'!$D$8:$D$42,ROW('03.Muestra'!$B$8:$B$42)-MIN(ROW('03.Muestra'!$D$8:$D$42))+1,""),ROW()-778)),"")</f>
        <v>18</v>
      </c>
      <c r="B796" s="114" t="str" cm="1">
        <f t="array" ref="B796">IFERROR(INDEX('03.Muestra'!$C$8:$C$42,SMALL(IF("Página Web"='03.Muestra'!$D$8:$D$42,ROW('03.Muestra'!$C$8:$C$42)-MIN(ROW('03.Muestra'!$D$8:$D$42))+1,""),ROW()-778)),"")</f>
        <v>Aviso Legal</v>
      </c>
      <c r="C796" s="114" t="str" cm="1">
        <f t="array" ref="C796">IFERROR(INDEX('03.Muestra'!$F$8:$F$42,SMALL(IF("Página Web"='03.Muestra'!$D$8:$D$42,ROW('03.Muestra'!$F$8:$F$42)-MIN(ROW('03.Muestra'!$D$8:$D$42))+1,""),ROW()-778)),"")</f>
        <v>https://www.crtm.es/aviso-legal</v>
      </c>
      <c r="D796" s="130" t="s">
        <v>25</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cm="1">
        <f t="array" ref="A797">IFERROR(INDEX('03.Muestra'!$B$8:$B$42,SMALL(IF("Página Web"='03.Muestra'!$D$8:$D$42,ROW('03.Muestra'!$B$8:$B$42)-MIN(ROW('03.Muestra'!$D$8:$D$42))+1,""),ROW()-778)),"")</f>
        <v>19</v>
      </c>
      <c r="B797" s="114" t="str" cm="1">
        <f t="array" ref="B797">IFERROR(INDEX('03.Muestra'!$C$8:$C$42,SMALL(IF("Página Web"='03.Muestra'!$D$8:$D$42,ROW('03.Muestra'!$C$8:$C$42)-MIN(ROW('03.Muestra'!$D$8:$D$42))+1,""),ROW()-778)),"")</f>
        <v>Normativa</v>
      </c>
      <c r="C797" s="114" t="str" cm="1">
        <f t="array" ref="C797">IFERROR(INDEX('03.Muestra'!$F$8:$F$42,SMALL(IF("Página Web"='03.Muestra'!$D$8:$D$42,ROW('03.Muestra'!$F$8:$F$42)-MIN(ROW('03.Muestra'!$D$8:$D$42))+1,""),ROW()-778)),"")</f>
        <v>https://www.crtm.es/normativa</v>
      </c>
      <c r="D797" s="130" t="s">
        <v>25</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cm="1">
        <f t="array" ref="A798">IFERROR(INDEX('03.Muestra'!$B$8:$B$42,SMALL(IF("Página Web"='03.Muestra'!$D$8:$D$42,ROW('03.Muestra'!$B$8:$B$42)-MIN(ROW('03.Muestra'!$D$8:$D$42))+1,""),ROW()-778)),"")</f>
        <v>20</v>
      </c>
      <c r="B798" s="114" t="str" cm="1">
        <f t="array" ref="B798">IFERROR(INDEX('03.Muestra'!$C$8:$C$42,SMALL(IF("Página Web"='03.Muestra'!$D$8:$D$42,ROW('03.Muestra'!$C$8:$C$42)-MIN(ROW('03.Muestra'!$D$8:$D$42))+1,""),ROW()-778)),"")</f>
        <v>Accesibilidad</v>
      </c>
      <c r="C798" s="114" t="str" cm="1">
        <f t="array" ref="C798">IFERROR(INDEX('03.Muestra'!$F$8:$F$42,SMALL(IF("Página Web"='03.Muestra'!$D$8:$D$42,ROW('03.Muestra'!$F$8:$F$42)-MIN(ROW('03.Muestra'!$D$8:$D$42))+1,""),ROW()-778)),"")</f>
        <v>https://www.crtm.es/accesibilidad</v>
      </c>
      <c r="D798" s="130" t="s">
        <v>25</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cm="1">
        <f t="array" ref="A799">IFERROR(INDEX('03.Muestra'!$B$8:$B$42,SMALL(IF("Página Web"='03.Muestra'!$D$8:$D$42,ROW('03.Muestra'!$B$8:$B$42)-MIN(ROW('03.Muestra'!$D$8:$D$42))+1,""),ROW()-778)),"")</f>
        <v>21</v>
      </c>
      <c r="B799" s="114" t="str" cm="1">
        <f t="array" ref="B799">IFERROR(INDEX('03.Muestra'!$C$8:$C$42,SMALL(IF("Página Web"='03.Muestra'!$D$8:$D$42,ROW('03.Muestra'!$C$8:$C$42)-MIN(ROW('03.Muestra'!$D$8:$D$42))+1,""),ROW()-778)),"")</f>
        <v>Modo accesible</v>
      </c>
      <c r="C799" s="114" t="str" cm="1">
        <f t="array" ref="C799">IFERROR(INDEX('03.Muestra'!$F$8:$F$42,SMALL(IF("Página Web"='03.Muestra'!$D$8:$D$42,ROW('03.Muestra'!$F$8:$F$42)-MIN(ROW('03.Muestra'!$D$8:$D$42))+1,""),ROW()-778)),"")</f>
        <v>https://www.crtm.es/</v>
      </c>
      <c r="D799" s="130" t="s">
        <v>25</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ref="D800:D813" si="41">IF(AND(B800&lt;&gt;"",C800&lt;&gt;""),"N/T","")</f>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https://www.crtm.es/</v>
      </c>
      <c r="D817" s="130" t="s">
        <v>27</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Red de metro</v>
      </c>
      <c r="C818" s="114" t="str" cm="1">
        <f t="array" ref="C818">IFERROR(INDEX('03.Muestra'!$F$8:$F$42,SMALL(IF("Página Web"='03.Muestra'!$D$8:$D$42,ROW('03.Muestra'!$F$8:$F$42)-MIN(ROW('03.Muestra'!$D$8:$D$42))+1,""),ROW()-816)),"")</f>
        <v>https://www.crtm.es/tu-transporte-publico/metro/</v>
      </c>
      <c r="D818" s="130" t="s">
        <v>27</v>
      </c>
      <c r="E818" s="107" t="str">
        <f t="shared" si="42"/>
        <v/>
      </c>
      <c r="F818" s="120">
        <f ca="1">COUNTIF($D817:INDIRECT("$D" &amp;  SUM(ROW()-1,'03.Muestra'!$D$45)-1),F817)</f>
        <v>0</v>
      </c>
      <c r="G818" s="120">
        <f ca="1">COUNTIF($D817:INDIRECT("$D" &amp;  SUM(ROW()-1,'03.Muestra'!$D$45)-1),G817)</f>
        <v>0</v>
      </c>
      <c r="H818" s="120">
        <f ca="1">COUNTIF($D817:INDIRECT("$D" &amp;  SUM(ROW()-1,'03.Muestra'!$D$45)-1),H817)</f>
        <v>1</v>
      </c>
      <c r="I818" s="120">
        <f ca="1">COUNTIF($D817:INDIRECT("$D" &amp;  SUM(ROW()-1,'03.Muestra'!$D$45)-1),I817)</f>
        <v>20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Líneas de metro</v>
      </c>
      <c r="C819" s="114" t="str" cm="1">
        <f t="array" ref="C819">IFERROR(INDEX('03.Muestra'!$F$8:$F$42,SMALL(IF("Página Web"='03.Muestra'!$D$8:$D$42,ROW('03.Muestra'!$F$8:$F$42)-MIN(ROW('03.Muestra'!$D$8:$D$42))+1,""),ROW()-816)),"")</f>
        <v>https://www.crtm.es/tu-transporte-publico/metro/lineas/4__1___</v>
      </c>
      <c r="D819" s="130" t="s">
        <v>27</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Estaciones Aeropuerto T1-T2-T3</v>
      </c>
      <c r="C820" s="114" t="str" cm="1">
        <f t="array" ref="C820">IFERROR(INDEX('03.Muestra'!$F$8:$F$42,SMALL(IF("Página Web"='03.Muestra'!$D$8:$D$42,ROW('03.Muestra'!$F$8:$F$42)-MIN(ROW('03.Muestra'!$D$8:$D$42))+1,""),ROW()-816)),"")</f>
        <v>https://www.crtm.es/tu-transporte-publico/metro/estaciones/4_159</v>
      </c>
      <c r="D820" s="130" t="s">
        <v>27</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Muévete por Madrid</v>
      </c>
      <c r="C821" s="114" t="str" cm="1">
        <f t="array" ref="C821">IFERROR(INDEX('03.Muestra'!$F$8:$F$42,SMALL(IF("Página Web"='03.Muestra'!$D$8:$D$42,ROW('03.Muestra'!$F$8:$F$42)-MIN(ROW('03.Muestra'!$D$8:$D$42))+1,""),ROW()-816)),"")</f>
        <v>https://www.crtm.es/muevete-por-madrid/</v>
      </c>
      <c r="D821" s="130" t="s">
        <v>27</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conexiones con aeropuerto y principales estaciones</v>
      </c>
      <c r="C822" s="114" t="str" cm="1">
        <f t="array" ref="C822">IFERROR(INDEX('03.Muestra'!$F$8:$F$42,SMALL(IF("Página Web"='03.Muestra'!$D$8:$D$42,ROW('03.Muestra'!$F$8:$F$42)-MIN(ROW('03.Muestra'!$D$8:$D$42))+1,""),ROW()-816)),"")</f>
        <v xml:space="preserve">https://www.crtm.es/muevete-por-madrid/conexiones-con-aeropuerto-y-principales-estaciones/ </v>
      </c>
      <c r="D822" s="130" t="s">
        <v>27</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Atención desplazados Ucranianos</v>
      </c>
      <c r="C823" s="114" t="str" cm="1">
        <f t="array" ref="C823">IFERROR(INDEX('03.Muestra'!$F$8:$F$42,SMALL(IF("Página Web"='03.Muestra'!$D$8:$D$42,ROW('03.Muestra'!$F$8:$F$42)-MIN(ROW('03.Muestra'!$D$8:$D$42))+1,""),ROW()-816)),"")</f>
        <v>https://www.crtm.es/atencion-desplazados-ucranianos/#item3</v>
      </c>
      <c r="D823" s="130" t="s">
        <v>27</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Preguntas frecuentes (Tarjeta transporte público personal)</v>
      </c>
      <c r="C824" s="114" t="str" cm="1">
        <f t="array" ref="C824">IFERROR(INDEX('03.Muestra'!$F$8:$F$42,SMALL(IF("Página Web"='03.Muestra'!$D$8:$D$42,ROW('03.Muestra'!$F$8:$F$42)-MIN(ROW('03.Muestra'!$D$8:$D$42))+1,""),ROW()-816)),"")</f>
        <v xml:space="preserve"> https://www.crtm.es/billetes-y-tarifas/tarjeta-transporte-publico/preguntas-frecuentes/#item23</v>
      </c>
      <c r="D824" s="130" t="s">
        <v>27</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Billetes y abonos (Metro)</v>
      </c>
      <c r="C825" s="114" t="str" cm="1">
        <f t="array" ref="C825">IFERROR(INDEX('03.Muestra'!$F$8:$F$42,SMALL(IF("Página Web"='03.Muestra'!$D$8:$D$42,ROW('03.Muestra'!$F$8:$F$42)-MIN(ROW('03.Muestra'!$D$8:$D$42))+1,""),ROW()-816)),"")</f>
        <v>https://www.crtm.es/billetes-y-tarifas/billetes-y-abonos/metro/?idPestana=1&amp;lang=#item10</v>
      </c>
      <c r="D825" s="130" t="s">
        <v>27</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Billetes y tarifas (App)</v>
      </c>
      <c r="C826" s="114" t="str" cm="1">
        <f t="array" ref="C826">IFERROR(INDEX('03.Muestra'!$F$8:$F$42,SMALL(IF("Página Web"='03.Muestra'!$D$8:$D$42,ROW('03.Muestra'!$F$8:$F$42)-MIN(ROW('03.Muestra'!$D$8:$D$42))+1,""),ROW()-816)),"")</f>
        <v>https://www.crtm.es/billetes-y-tarifas/apps/</v>
      </c>
      <c r="D826" s="130" t="s">
        <v>27</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Atención al cliente</v>
      </c>
      <c r="C827" s="114" t="str" cm="1">
        <f t="array" ref="C827">IFERROR(INDEX('03.Muestra'!$F$8:$F$42,SMALL(IF("Página Web"='03.Muestra'!$D$8:$D$42,ROW('03.Muestra'!$F$8:$F$42)-MIN(ROW('03.Muestra'!$D$8:$D$42))+1,""),ROW()-816)),"")</f>
        <v>https://www.crtm.es/atencion-al-cliente/</v>
      </c>
      <c r="D827" s="130" t="s">
        <v>27</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Conócenos</v>
      </c>
      <c r="C828" s="114" t="str" cm="1">
        <f t="array" ref="C828">IFERROR(INDEX('03.Muestra'!$F$8:$F$42,SMALL(IF("Página Web"='03.Muestra'!$D$8:$D$42,ROW('03.Muestra'!$F$8:$F$42)-MIN(ROW('03.Muestra'!$D$8:$D$42))+1,""),ROW()-816)),"")</f>
        <v>https://www.crtm.es/conocenos/#CentrodeDocumentacion</v>
      </c>
      <c r="D828" s="130" t="s">
        <v>27</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Actualidad del servicio</v>
      </c>
      <c r="C829" s="114" t="str" cm="1">
        <f t="array" ref="C829">IFERROR(INDEX('03.Muestra'!$F$8:$F$42,SMALL(IF("Página Web"='03.Muestra'!$D$8:$D$42,ROW('03.Muestra'!$F$8:$F$42)-MIN(ROW('03.Muestra'!$D$8:$D$42))+1,""),ROW()-816)),"")</f>
        <v>https://www.crtm.es/comunicacion/actualidad-del-servicio/?idPestana=1&amp;lang=es</v>
      </c>
      <c r="D829" s="130" t="s">
        <v>27</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Galería de fotos</v>
      </c>
      <c r="C830" s="114" t="str" cm="1">
        <f t="array" ref="C830">IFERROR(INDEX('03.Muestra'!$F$8:$F$42,SMALL(IF("Página Web"='03.Muestra'!$D$8:$D$42,ROW('03.Muestra'!$F$8:$F$42)-MIN(ROW('03.Muestra'!$D$8:$D$42))+1,""),ROW()-816)),"")</f>
        <v>https://www.crtm.es/comunicacion/multimedia/galeria-de-fotos/</v>
      </c>
      <c r="D830" s="130" t="s">
        <v>27</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Mapa web</v>
      </c>
      <c r="C831" s="114" t="str" cm="1">
        <f t="array" ref="C831">IFERROR(INDEX('03.Muestra'!$F$8:$F$42,SMALL(IF("Página Web"='03.Muestra'!$D$8:$D$42,ROW('03.Muestra'!$F$8:$F$42)-MIN(ROW('03.Muestra'!$D$8:$D$42))+1,""),ROW()-816)),"")</f>
        <v>https://www.crtm.es/mapa-web</v>
      </c>
      <c r="D831" s="130" t="s">
        <v>27</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Protección de datos</v>
      </c>
      <c r="C832" s="114" t="str" cm="1">
        <f t="array" ref="C832">IFERROR(INDEX('03.Muestra'!$F$8:$F$42,SMALL(IF("Página Web"='03.Muestra'!$D$8:$D$42,ROW('03.Muestra'!$F$8:$F$42)-MIN(ROW('03.Muestra'!$D$8:$D$42))+1,""),ROW()-816)),"")</f>
        <v>https://www.crtm.es/proteccion-de-datos</v>
      </c>
      <c r="D832" s="130" t="s">
        <v>27</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Política de cookies</v>
      </c>
      <c r="C833" s="114" t="str" cm="1">
        <f t="array" ref="C833">IFERROR(INDEX('03.Muestra'!$F$8:$F$42,SMALL(IF("Página Web"='03.Muestra'!$D$8:$D$42,ROW('03.Muestra'!$F$8:$F$42)-MIN(ROW('03.Muestra'!$D$8:$D$42))+1,""),ROW()-816)),"")</f>
        <v>https://www.crtm.es/politica-de-cookies</v>
      </c>
      <c r="D833" s="130" t="s">
        <v>27</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cm="1">
        <f t="array" ref="A834">IFERROR(INDEX('03.Muestra'!$B$8:$B$42,SMALL(IF("Página Web"='03.Muestra'!$D$8:$D$42,ROW('03.Muestra'!$B$8:$B$42)-MIN(ROW('03.Muestra'!$D$8:$D$42))+1,""),ROW()-816)),"")</f>
        <v>18</v>
      </c>
      <c r="B834" s="114" t="str" cm="1">
        <f t="array" ref="B834">IFERROR(INDEX('03.Muestra'!$C$8:$C$42,SMALL(IF("Página Web"='03.Muestra'!$D$8:$D$42,ROW('03.Muestra'!$C$8:$C$42)-MIN(ROW('03.Muestra'!$D$8:$D$42))+1,""),ROW()-816)),"")</f>
        <v>Aviso Legal</v>
      </c>
      <c r="C834" s="114" t="str" cm="1">
        <f t="array" ref="C834">IFERROR(INDEX('03.Muestra'!$F$8:$F$42,SMALL(IF("Página Web"='03.Muestra'!$D$8:$D$42,ROW('03.Muestra'!$F$8:$F$42)-MIN(ROW('03.Muestra'!$D$8:$D$42))+1,""),ROW()-816)),"")</f>
        <v>https://www.crtm.es/aviso-legal</v>
      </c>
      <c r="D834" s="130" t="s">
        <v>27</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cm="1">
        <f t="array" ref="A835">IFERROR(INDEX('03.Muestra'!$B$8:$B$42,SMALL(IF("Página Web"='03.Muestra'!$D$8:$D$42,ROW('03.Muestra'!$B$8:$B$42)-MIN(ROW('03.Muestra'!$D$8:$D$42))+1,""),ROW()-816)),"")</f>
        <v>19</v>
      </c>
      <c r="B835" s="114" t="str" cm="1">
        <f t="array" ref="B835">IFERROR(INDEX('03.Muestra'!$C$8:$C$42,SMALL(IF("Página Web"='03.Muestra'!$D$8:$D$42,ROW('03.Muestra'!$C$8:$C$42)-MIN(ROW('03.Muestra'!$D$8:$D$42))+1,""),ROW()-816)),"")</f>
        <v>Normativa</v>
      </c>
      <c r="C835" s="114" t="str" cm="1">
        <f t="array" ref="C835">IFERROR(INDEX('03.Muestra'!$F$8:$F$42,SMALL(IF("Página Web"='03.Muestra'!$D$8:$D$42,ROW('03.Muestra'!$F$8:$F$42)-MIN(ROW('03.Muestra'!$D$8:$D$42))+1,""),ROW()-816)),"")</f>
        <v>https://www.crtm.es/normativa</v>
      </c>
      <c r="D835" s="130" t="s">
        <v>27</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cm="1">
        <f t="array" ref="A836">IFERROR(INDEX('03.Muestra'!$B$8:$B$42,SMALL(IF("Página Web"='03.Muestra'!$D$8:$D$42,ROW('03.Muestra'!$B$8:$B$42)-MIN(ROW('03.Muestra'!$D$8:$D$42))+1,""),ROW()-816)),"")</f>
        <v>20</v>
      </c>
      <c r="B836" s="114" t="str" cm="1">
        <f t="array" ref="B836">IFERROR(INDEX('03.Muestra'!$C$8:$C$42,SMALL(IF("Página Web"='03.Muestra'!$D$8:$D$42,ROW('03.Muestra'!$C$8:$C$42)-MIN(ROW('03.Muestra'!$D$8:$D$42))+1,""),ROW()-816)),"")</f>
        <v>Accesibilidad</v>
      </c>
      <c r="C836" s="114" t="str" cm="1">
        <f t="array" ref="C836">IFERROR(INDEX('03.Muestra'!$F$8:$F$42,SMALL(IF("Página Web"='03.Muestra'!$D$8:$D$42,ROW('03.Muestra'!$F$8:$F$42)-MIN(ROW('03.Muestra'!$D$8:$D$42))+1,""),ROW()-816)),"")</f>
        <v>https://www.crtm.es/accesibilidad</v>
      </c>
      <c r="D836" s="130" t="s">
        <v>27</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cm="1">
        <f t="array" ref="A837">IFERROR(INDEX('03.Muestra'!$B$8:$B$42,SMALL(IF("Página Web"='03.Muestra'!$D$8:$D$42,ROW('03.Muestra'!$B$8:$B$42)-MIN(ROW('03.Muestra'!$D$8:$D$42))+1,""),ROW()-816)),"")</f>
        <v>21</v>
      </c>
      <c r="B837" s="114" t="str" cm="1">
        <f t="array" ref="B837">IFERROR(INDEX('03.Muestra'!$C$8:$C$42,SMALL(IF("Página Web"='03.Muestra'!$D$8:$D$42,ROW('03.Muestra'!$C$8:$C$42)-MIN(ROW('03.Muestra'!$D$8:$D$42))+1,""),ROW()-816)),"")</f>
        <v>Modo accesible</v>
      </c>
      <c r="C837" s="114" t="str" cm="1">
        <f t="array" ref="C837">IFERROR(INDEX('03.Muestra'!$F$8:$F$42,SMALL(IF("Página Web"='03.Muestra'!$D$8:$D$42,ROW('03.Muestra'!$F$8:$F$42)-MIN(ROW('03.Muestra'!$D$8:$D$42))+1,""),ROW()-816)),"")</f>
        <v>https://www.crtm.es/</v>
      </c>
      <c r="D837" s="130" t="s">
        <v>34</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ref="D838:D851" si="43">IF(AND(B838&lt;&gt;"",C838&lt;&gt;""),"N/T","")</f>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https://www.crtm.es/</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Red de metro</v>
      </c>
      <c r="C856" s="114" t="str" cm="1">
        <f t="array" ref="C856">IFERROR(INDEX('03.Muestra'!$F$8:$F$42,SMALL(IF("Página Web"='03.Muestra'!$D$8:$D$42,ROW('03.Muestra'!$F$8:$F$42)-MIN(ROW('03.Muestra'!$D$8:$D$42))+1,""),ROW()-854)),"")</f>
        <v>https://www.crtm.es/tu-transporte-publico/metro/</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21</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Líneas de metro</v>
      </c>
      <c r="C857" s="114" t="str" cm="1">
        <f t="array" ref="C857">IFERROR(INDEX('03.Muestra'!$F$8:$F$42,SMALL(IF("Página Web"='03.Muestra'!$D$8:$D$42,ROW('03.Muestra'!$F$8:$F$42)-MIN(ROW('03.Muestra'!$D$8:$D$42))+1,""),ROW()-854)),"")</f>
        <v>https://www.crtm.es/tu-transporte-publico/metro/lineas/4__1___</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Estaciones Aeropuerto T1-T2-T3</v>
      </c>
      <c r="C858" s="114" t="str" cm="1">
        <f t="array" ref="C858">IFERROR(INDEX('03.Muestra'!$F$8:$F$42,SMALL(IF("Página Web"='03.Muestra'!$D$8:$D$42,ROW('03.Muestra'!$F$8:$F$42)-MIN(ROW('03.Muestra'!$D$8:$D$42))+1,""),ROW()-854)),"")</f>
        <v>https://www.crtm.es/tu-transporte-publico/metro/estaciones/4_159</v>
      </c>
      <c r="D858" s="130" t="s">
        <v>34</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Muévete por Madrid</v>
      </c>
      <c r="C859" s="114" t="str" cm="1">
        <f t="array" ref="C859">IFERROR(INDEX('03.Muestra'!$F$8:$F$42,SMALL(IF("Página Web"='03.Muestra'!$D$8:$D$42,ROW('03.Muestra'!$F$8:$F$42)-MIN(ROW('03.Muestra'!$D$8:$D$42))+1,""),ROW()-854)),"")</f>
        <v>https://www.crtm.es/muevete-por-madrid/</v>
      </c>
      <c r="D859" s="130" t="s">
        <v>34</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conexiones con aeropuerto y principales estaciones</v>
      </c>
      <c r="C860" s="114" t="str" cm="1">
        <f t="array" ref="C860">IFERROR(INDEX('03.Muestra'!$F$8:$F$42,SMALL(IF("Página Web"='03.Muestra'!$D$8:$D$42,ROW('03.Muestra'!$F$8:$F$42)-MIN(ROW('03.Muestra'!$D$8:$D$42))+1,""),ROW()-854)),"")</f>
        <v xml:space="preserve">https://www.crtm.es/muevete-por-madrid/conexiones-con-aeropuerto-y-principales-estaciones/ </v>
      </c>
      <c r="D860" s="130" t="s">
        <v>34</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Atención desplazados Ucranianos</v>
      </c>
      <c r="C861" s="114" t="str" cm="1">
        <f t="array" ref="C861">IFERROR(INDEX('03.Muestra'!$F$8:$F$42,SMALL(IF("Página Web"='03.Muestra'!$D$8:$D$42,ROW('03.Muestra'!$F$8:$F$42)-MIN(ROW('03.Muestra'!$D$8:$D$42))+1,""),ROW()-854)),"")</f>
        <v>https://www.crtm.es/atencion-desplazados-ucranianos/#item3</v>
      </c>
      <c r="D861" s="130" t="s">
        <v>34</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Preguntas frecuentes (Tarjeta transporte público personal)</v>
      </c>
      <c r="C862" s="114" t="str" cm="1">
        <f t="array" ref="C862">IFERROR(INDEX('03.Muestra'!$F$8:$F$42,SMALL(IF("Página Web"='03.Muestra'!$D$8:$D$42,ROW('03.Muestra'!$F$8:$F$42)-MIN(ROW('03.Muestra'!$D$8:$D$42))+1,""),ROW()-854)),"")</f>
        <v xml:space="preserve"> https://www.crtm.es/billetes-y-tarifas/tarjeta-transporte-publico/preguntas-frecuentes/#item23</v>
      </c>
      <c r="D862" s="130" t="s">
        <v>34</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Billetes y abonos (Metro)</v>
      </c>
      <c r="C863" s="114" t="str" cm="1">
        <f t="array" ref="C863">IFERROR(INDEX('03.Muestra'!$F$8:$F$42,SMALL(IF("Página Web"='03.Muestra'!$D$8:$D$42,ROW('03.Muestra'!$F$8:$F$42)-MIN(ROW('03.Muestra'!$D$8:$D$42))+1,""),ROW()-854)),"")</f>
        <v>https://www.crtm.es/billetes-y-tarifas/billetes-y-abonos/metro/?idPestana=1&amp;lang=#item10</v>
      </c>
      <c r="D863" s="130" t="s">
        <v>34</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Billetes y tarifas (App)</v>
      </c>
      <c r="C864" s="114" t="str" cm="1">
        <f t="array" ref="C864">IFERROR(INDEX('03.Muestra'!$F$8:$F$42,SMALL(IF("Página Web"='03.Muestra'!$D$8:$D$42,ROW('03.Muestra'!$F$8:$F$42)-MIN(ROW('03.Muestra'!$D$8:$D$42))+1,""),ROW()-854)),"")</f>
        <v>https://www.crtm.es/billetes-y-tarifas/apps/</v>
      </c>
      <c r="D864" s="130" t="s">
        <v>34</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Atención al cliente</v>
      </c>
      <c r="C865" s="114" t="str" cm="1">
        <f t="array" ref="C865">IFERROR(INDEX('03.Muestra'!$F$8:$F$42,SMALL(IF("Página Web"='03.Muestra'!$D$8:$D$42,ROW('03.Muestra'!$F$8:$F$42)-MIN(ROW('03.Muestra'!$D$8:$D$42))+1,""),ROW()-854)),"")</f>
        <v>https://www.crtm.es/atencion-al-cliente/</v>
      </c>
      <c r="D865" s="130" t="s">
        <v>34</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Conócenos</v>
      </c>
      <c r="C866" s="114" t="str" cm="1">
        <f t="array" ref="C866">IFERROR(INDEX('03.Muestra'!$F$8:$F$42,SMALL(IF("Página Web"='03.Muestra'!$D$8:$D$42,ROW('03.Muestra'!$F$8:$F$42)-MIN(ROW('03.Muestra'!$D$8:$D$42))+1,""),ROW()-854)),"")</f>
        <v>https://www.crtm.es/conocenos/#CentrodeDocumentacion</v>
      </c>
      <c r="D866" s="130" t="s">
        <v>34</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Actualidad del servicio</v>
      </c>
      <c r="C867" s="114" t="str" cm="1">
        <f t="array" ref="C867">IFERROR(INDEX('03.Muestra'!$F$8:$F$42,SMALL(IF("Página Web"='03.Muestra'!$D$8:$D$42,ROW('03.Muestra'!$F$8:$F$42)-MIN(ROW('03.Muestra'!$D$8:$D$42))+1,""),ROW()-854)),"")</f>
        <v>https://www.crtm.es/comunicacion/actualidad-del-servicio/?idPestana=1&amp;lang=es</v>
      </c>
      <c r="D867" s="130" t="s">
        <v>34</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Galería de fotos</v>
      </c>
      <c r="C868" s="114" t="str" cm="1">
        <f t="array" ref="C868">IFERROR(INDEX('03.Muestra'!$F$8:$F$42,SMALL(IF("Página Web"='03.Muestra'!$D$8:$D$42,ROW('03.Muestra'!$F$8:$F$42)-MIN(ROW('03.Muestra'!$D$8:$D$42))+1,""),ROW()-854)),"")</f>
        <v>https://www.crtm.es/comunicacion/multimedia/galeria-de-fotos/</v>
      </c>
      <c r="D868" s="130" t="s">
        <v>34</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Mapa web</v>
      </c>
      <c r="C869" s="114" t="str" cm="1">
        <f t="array" ref="C869">IFERROR(INDEX('03.Muestra'!$F$8:$F$42,SMALL(IF("Página Web"='03.Muestra'!$D$8:$D$42,ROW('03.Muestra'!$F$8:$F$42)-MIN(ROW('03.Muestra'!$D$8:$D$42))+1,""),ROW()-854)),"")</f>
        <v>https://www.crtm.es/mapa-web</v>
      </c>
      <c r="D869" s="130" t="s">
        <v>34</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Protección de datos</v>
      </c>
      <c r="C870" s="114" t="str" cm="1">
        <f t="array" ref="C870">IFERROR(INDEX('03.Muestra'!$F$8:$F$42,SMALL(IF("Página Web"='03.Muestra'!$D$8:$D$42,ROW('03.Muestra'!$F$8:$F$42)-MIN(ROW('03.Muestra'!$D$8:$D$42))+1,""),ROW()-854)),"")</f>
        <v>https://www.crtm.es/proteccion-de-datos</v>
      </c>
      <c r="D870" s="130" t="s">
        <v>34</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Política de cookies</v>
      </c>
      <c r="C871" s="114" t="str" cm="1">
        <f t="array" ref="C871">IFERROR(INDEX('03.Muestra'!$F$8:$F$42,SMALL(IF("Página Web"='03.Muestra'!$D$8:$D$42,ROW('03.Muestra'!$F$8:$F$42)-MIN(ROW('03.Muestra'!$D$8:$D$42))+1,""),ROW()-854)),"")</f>
        <v>https://www.crtm.es/politica-de-cookies</v>
      </c>
      <c r="D871" s="130" t="s">
        <v>34</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cm="1">
        <f t="array" ref="A872">IFERROR(INDEX('03.Muestra'!$B$8:$B$42,SMALL(IF("Página Web"='03.Muestra'!$D$8:$D$42,ROW('03.Muestra'!$B$8:$B$42)-MIN(ROW('03.Muestra'!$D$8:$D$42))+1,""),ROW()-854)),"")</f>
        <v>18</v>
      </c>
      <c r="B872" s="114" t="str" cm="1">
        <f t="array" ref="B872">IFERROR(INDEX('03.Muestra'!$C$8:$C$42,SMALL(IF("Página Web"='03.Muestra'!$D$8:$D$42,ROW('03.Muestra'!$C$8:$C$42)-MIN(ROW('03.Muestra'!$D$8:$D$42))+1,""),ROW()-854)),"")</f>
        <v>Aviso Legal</v>
      </c>
      <c r="C872" s="114" t="str" cm="1">
        <f t="array" ref="C872">IFERROR(INDEX('03.Muestra'!$F$8:$F$42,SMALL(IF("Página Web"='03.Muestra'!$D$8:$D$42,ROW('03.Muestra'!$F$8:$F$42)-MIN(ROW('03.Muestra'!$D$8:$D$42))+1,""),ROW()-854)),"")</f>
        <v>https://www.crtm.es/aviso-legal</v>
      </c>
      <c r="D872" s="130" t="s">
        <v>34</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cm="1">
        <f t="array" ref="A873">IFERROR(INDEX('03.Muestra'!$B$8:$B$42,SMALL(IF("Página Web"='03.Muestra'!$D$8:$D$42,ROW('03.Muestra'!$B$8:$B$42)-MIN(ROW('03.Muestra'!$D$8:$D$42))+1,""),ROW()-854)),"")</f>
        <v>19</v>
      </c>
      <c r="B873" s="114" t="str" cm="1">
        <f t="array" ref="B873">IFERROR(INDEX('03.Muestra'!$C$8:$C$42,SMALL(IF("Página Web"='03.Muestra'!$D$8:$D$42,ROW('03.Muestra'!$C$8:$C$42)-MIN(ROW('03.Muestra'!$D$8:$D$42))+1,""),ROW()-854)),"")</f>
        <v>Normativa</v>
      </c>
      <c r="C873" s="114" t="str" cm="1">
        <f t="array" ref="C873">IFERROR(INDEX('03.Muestra'!$F$8:$F$42,SMALL(IF("Página Web"='03.Muestra'!$D$8:$D$42,ROW('03.Muestra'!$F$8:$F$42)-MIN(ROW('03.Muestra'!$D$8:$D$42))+1,""),ROW()-854)),"")</f>
        <v>https://www.crtm.es/normativa</v>
      </c>
      <c r="D873" s="130" t="s">
        <v>34</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cm="1">
        <f t="array" ref="A874">IFERROR(INDEX('03.Muestra'!$B$8:$B$42,SMALL(IF("Página Web"='03.Muestra'!$D$8:$D$42,ROW('03.Muestra'!$B$8:$B$42)-MIN(ROW('03.Muestra'!$D$8:$D$42))+1,""),ROW()-854)),"")</f>
        <v>20</v>
      </c>
      <c r="B874" s="114" t="str" cm="1">
        <f t="array" ref="B874">IFERROR(INDEX('03.Muestra'!$C$8:$C$42,SMALL(IF("Página Web"='03.Muestra'!$D$8:$D$42,ROW('03.Muestra'!$C$8:$C$42)-MIN(ROW('03.Muestra'!$D$8:$D$42))+1,""),ROW()-854)),"")</f>
        <v>Accesibilidad</v>
      </c>
      <c r="C874" s="114" t="str" cm="1">
        <f t="array" ref="C874">IFERROR(INDEX('03.Muestra'!$F$8:$F$42,SMALL(IF("Página Web"='03.Muestra'!$D$8:$D$42,ROW('03.Muestra'!$F$8:$F$42)-MIN(ROW('03.Muestra'!$D$8:$D$42))+1,""),ROW()-854)),"")</f>
        <v>https://www.crtm.es/accesibilidad</v>
      </c>
      <c r="D874" s="130" t="s">
        <v>34</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cm="1">
        <f t="array" ref="A875">IFERROR(INDEX('03.Muestra'!$B$8:$B$42,SMALL(IF("Página Web"='03.Muestra'!$D$8:$D$42,ROW('03.Muestra'!$B$8:$B$42)-MIN(ROW('03.Muestra'!$D$8:$D$42))+1,""),ROW()-854)),"")</f>
        <v>21</v>
      </c>
      <c r="B875" s="114" t="str" cm="1">
        <f t="array" ref="B875">IFERROR(INDEX('03.Muestra'!$C$8:$C$42,SMALL(IF("Página Web"='03.Muestra'!$D$8:$D$42,ROW('03.Muestra'!$C$8:$C$42)-MIN(ROW('03.Muestra'!$D$8:$D$42))+1,""),ROW()-854)),"")</f>
        <v>Modo accesible</v>
      </c>
      <c r="C875" s="114" t="str" cm="1">
        <f t="array" ref="C875">IFERROR(INDEX('03.Muestra'!$F$8:$F$42,SMALL(IF("Página Web"='03.Muestra'!$D$8:$D$42,ROW('03.Muestra'!$F$8:$F$42)-MIN(ROW('03.Muestra'!$D$8:$D$42))+1,""),ROW()-854)),"")</f>
        <v>https://www.crtm.es/</v>
      </c>
      <c r="D875" s="130" t="s">
        <v>34</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ref="D876:D889" si="45">IF(AND(B876&lt;&gt;"",C876&lt;&gt;""),"N/T","")</f>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https://www.crtm.es/</v>
      </c>
      <c r="D893" s="130" t="s">
        <v>25</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Red de metro</v>
      </c>
      <c r="C894" s="114" t="str" cm="1">
        <f t="array" ref="C894">IFERROR(INDEX('03.Muestra'!$F$8:$F$42,SMALL(IF("Página Web"='03.Muestra'!$D$8:$D$42,ROW('03.Muestra'!$F$8:$F$42)-MIN(ROW('03.Muestra'!$D$8:$D$42))+1,""),ROW()-892)),"")</f>
        <v>https://www.crtm.es/tu-transporte-publico/metro/</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20</v>
      </c>
      <c r="I894" s="120">
        <f ca="1">COUNTIF($D893:INDIRECT("$D" &amp;  SUM(ROW()-1,'03.Muestra'!$D$45)-1),I893)</f>
        <v>0</v>
      </c>
      <c r="J894" s="120">
        <f ca="1">COUNTIF($D893:INDIRECT("$D" &amp;  SUM(ROW()-1,'03.Muestra'!$D$45)-1),J893)</f>
        <v>1</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Líneas de metro</v>
      </c>
      <c r="C895" s="114" t="str" cm="1">
        <f t="array" ref="C895">IFERROR(INDEX('03.Muestra'!$F$8:$F$42,SMALL(IF("Página Web"='03.Muestra'!$D$8:$D$42,ROW('03.Muestra'!$F$8:$F$42)-MIN(ROW('03.Muestra'!$D$8:$D$42))+1,""),ROW()-892)),"")</f>
        <v>https://www.crtm.es/tu-transporte-publico/metro/lineas/4__1___</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Estaciones Aeropuerto T1-T2-T3</v>
      </c>
      <c r="C896" s="114" t="str" cm="1">
        <f t="array" ref="C896">IFERROR(INDEX('03.Muestra'!$F$8:$F$42,SMALL(IF("Página Web"='03.Muestra'!$D$8:$D$42,ROW('03.Muestra'!$F$8:$F$42)-MIN(ROW('03.Muestra'!$D$8:$D$42))+1,""),ROW()-892)),"")</f>
        <v>https://www.crtm.es/tu-transporte-publico/metro/estaciones/4_159</v>
      </c>
      <c r="D896" s="130" t="s">
        <v>34</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Muévete por Madrid</v>
      </c>
      <c r="C897" s="114" t="str" cm="1">
        <f t="array" ref="C897">IFERROR(INDEX('03.Muestra'!$F$8:$F$42,SMALL(IF("Página Web"='03.Muestra'!$D$8:$D$42,ROW('03.Muestra'!$F$8:$F$42)-MIN(ROW('03.Muestra'!$D$8:$D$42))+1,""),ROW()-892)),"")</f>
        <v>https://www.crtm.es/muevete-por-madrid/</v>
      </c>
      <c r="D897" s="130" t="s">
        <v>34</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conexiones con aeropuerto y principales estaciones</v>
      </c>
      <c r="C898" s="114" t="str" cm="1">
        <f t="array" ref="C898">IFERROR(INDEX('03.Muestra'!$F$8:$F$42,SMALL(IF("Página Web"='03.Muestra'!$D$8:$D$42,ROW('03.Muestra'!$F$8:$F$42)-MIN(ROW('03.Muestra'!$D$8:$D$42))+1,""),ROW()-892)),"")</f>
        <v xml:space="preserve">https://www.crtm.es/muevete-por-madrid/conexiones-con-aeropuerto-y-principales-estaciones/ </v>
      </c>
      <c r="D898" s="130" t="s">
        <v>34</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Atención desplazados Ucranianos</v>
      </c>
      <c r="C899" s="114" t="str" cm="1">
        <f t="array" ref="C899">IFERROR(INDEX('03.Muestra'!$F$8:$F$42,SMALL(IF("Página Web"='03.Muestra'!$D$8:$D$42,ROW('03.Muestra'!$F$8:$F$42)-MIN(ROW('03.Muestra'!$D$8:$D$42))+1,""),ROW()-892)),"")</f>
        <v>https://www.crtm.es/atencion-desplazados-ucranianos/#item3</v>
      </c>
      <c r="D899" s="130" t="s">
        <v>34</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Preguntas frecuentes (Tarjeta transporte público personal)</v>
      </c>
      <c r="C900" s="114" t="str" cm="1">
        <f t="array" ref="C900">IFERROR(INDEX('03.Muestra'!$F$8:$F$42,SMALL(IF("Página Web"='03.Muestra'!$D$8:$D$42,ROW('03.Muestra'!$F$8:$F$42)-MIN(ROW('03.Muestra'!$D$8:$D$42))+1,""),ROW()-892)),"")</f>
        <v xml:space="preserve"> https://www.crtm.es/billetes-y-tarifas/tarjeta-transporte-publico/preguntas-frecuentes/#item23</v>
      </c>
      <c r="D900" s="130" t="s">
        <v>34</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Billetes y abonos (Metro)</v>
      </c>
      <c r="C901" s="114" t="str" cm="1">
        <f t="array" ref="C901">IFERROR(INDEX('03.Muestra'!$F$8:$F$42,SMALL(IF("Página Web"='03.Muestra'!$D$8:$D$42,ROW('03.Muestra'!$F$8:$F$42)-MIN(ROW('03.Muestra'!$D$8:$D$42))+1,""),ROW()-892)),"")</f>
        <v>https://www.crtm.es/billetes-y-tarifas/billetes-y-abonos/metro/?idPestana=1&amp;lang=#item10</v>
      </c>
      <c r="D901" s="130" t="s">
        <v>34</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Billetes y tarifas (App)</v>
      </c>
      <c r="C902" s="114" t="str" cm="1">
        <f t="array" ref="C902">IFERROR(INDEX('03.Muestra'!$F$8:$F$42,SMALL(IF("Página Web"='03.Muestra'!$D$8:$D$42,ROW('03.Muestra'!$F$8:$F$42)-MIN(ROW('03.Muestra'!$D$8:$D$42))+1,""),ROW()-892)),"")</f>
        <v>https://www.crtm.es/billetes-y-tarifas/apps/</v>
      </c>
      <c r="D902" s="130" t="s">
        <v>34</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Atención al cliente</v>
      </c>
      <c r="C903" s="114" t="str" cm="1">
        <f t="array" ref="C903">IFERROR(INDEX('03.Muestra'!$F$8:$F$42,SMALL(IF("Página Web"='03.Muestra'!$D$8:$D$42,ROW('03.Muestra'!$F$8:$F$42)-MIN(ROW('03.Muestra'!$D$8:$D$42))+1,""),ROW()-892)),"")</f>
        <v>https://www.crtm.es/atencion-al-cliente/</v>
      </c>
      <c r="D903" s="130" t="s">
        <v>34</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Conócenos</v>
      </c>
      <c r="C904" s="114" t="str" cm="1">
        <f t="array" ref="C904">IFERROR(INDEX('03.Muestra'!$F$8:$F$42,SMALL(IF("Página Web"='03.Muestra'!$D$8:$D$42,ROW('03.Muestra'!$F$8:$F$42)-MIN(ROW('03.Muestra'!$D$8:$D$42))+1,""),ROW()-892)),"")</f>
        <v>https://www.crtm.es/conocenos/#CentrodeDocumentacion</v>
      </c>
      <c r="D904" s="130" t="s">
        <v>34</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Actualidad del servicio</v>
      </c>
      <c r="C905" s="114" t="str" cm="1">
        <f t="array" ref="C905">IFERROR(INDEX('03.Muestra'!$F$8:$F$42,SMALL(IF("Página Web"='03.Muestra'!$D$8:$D$42,ROW('03.Muestra'!$F$8:$F$42)-MIN(ROW('03.Muestra'!$D$8:$D$42))+1,""),ROW()-892)),"")</f>
        <v>https://www.crtm.es/comunicacion/actualidad-del-servicio/?idPestana=1&amp;lang=es</v>
      </c>
      <c r="D905" s="130" t="s">
        <v>34</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Galería de fotos</v>
      </c>
      <c r="C906" s="114" t="str" cm="1">
        <f t="array" ref="C906">IFERROR(INDEX('03.Muestra'!$F$8:$F$42,SMALL(IF("Página Web"='03.Muestra'!$D$8:$D$42,ROW('03.Muestra'!$F$8:$F$42)-MIN(ROW('03.Muestra'!$D$8:$D$42))+1,""),ROW()-892)),"")</f>
        <v>https://www.crtm.es/comunicacion/multimedia/galeria-de-fotos/</v>
      </c>
      <c r="D906" s="130" t="s">
        <v>34</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Mapa web</v>
      </c>
      <c r="C907" s="114" t="str" cm="1">
        <f t="array" ref="C907">IFERROR(INDEX('03.Muestra'!$F$8:$F$42,SMALL(IF("Página Web"='03.Muestra'!$D$8:$D$42,ROW('03.Muestra'!$F$8:$F$42)-MIN(ROW('03.Muestra'!$D$8:$D$42))+1,""),ROW()-892)),"")</f>
        <v>https://www.crtm.es/mapa-web</v>
      </c>
      <c r="D907" s="130" t="s">
        <v>34</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Protección de datos</v>
      </c>
      <c r="C908" s="114" t="str" cm="1">
        <f t="array" ref="C908">IFERROR(INDEX('03.Muestra'!$F$8:$F$42,SMALL(IF("Página Web"='03.Muestra'!$D$8:$D$42,ROW('03.Muestra'!$F$8:$F$42)-MIN(ROW('03.Muestra'!$D$8:$D$42))+1,""),ROW()-892)),"")</f>
        <v>https://www.crtm.es/proteccion-de-datos</v>
      </c>
      <c r="D908" s="130" t="s">
        <v>34</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Política de cookies</v>
      </c>
      <c r="C909" s="114" t="str" cm="1">
        <f t="array" ref="C909">IFERROR(INDEX('03.Muestra'!$F$8:$F$42,SMALL(IF("Página Web"='03.Muestra'!$D$8:$D$42,ROW('03.Muestra'!$F$8:$F$42)-MIN(ROW('03.Muestra'!$D$8:$D$42))+1,""),ROW()-892)),"")</f>
        <v>https://www.crtm.es/politica-de-cookies</v>
      </c>
      <c r="D909" s="130" t="s">
        <v>34</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cm="1">
        <f t="array" ref="A910">IFERROR(INDEX('03.Muestra'!$B$8:$B$42,SMALL(IF("Página Web"='03.Muestra'!$D$8:$D$42,ROW('03.Muestra'!$B$8:$B$42)-MIN(ROW('03.Muestra'!$D$8:$D$42))+1,""),ROW()-892)),"")</f>
        <v>18</v>
      </c>
      <c r="B910" s="114" t="str" cm="1">
        <f t="array" ref="B910">IFERROR(INDEX('03.Muestra'!$C$8:$C$42,SMALL(IF("Página Web"='03.Muestra'!$D$8:$D$42,ROW('03.Muestra'!$C$8:$C$42)-MIN(ROW('03.Muestra'!$D$8:$D$42))+1,""),ROW()-892)),"")</f>
        <v>Aviso Legal</v>
      </c>
      <c r="C910" s="114" t="str" cm="1">
        <f t="array" ref="C910">IFERROR(INDEX('03.Muestra'!$F$8:$F$42,SMALL(IF("Página Web"='03.Muestra'!$D$8:$D$42,ROW('03.Muestra'!$F$8:$F$42)-MIN(ROW('03.Muestra'!$D$8:$D$42))+1,""),ROW()-892)),"")</f>
        <v>https://www.crtm.es/aviso-legal</v>
      </c>
      <c r="D910" s="130" t="s">
        <v>34</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cm="1">
        <f t="array" ref="A911">IFERROR(INDEX('03.Muestra'!$B$8:$B$42,SMALL(IF("Página Web"='03.Muestra'!$D$8:$D$42,ROW('03.Muestra'!$B$8:$B$42)-MIN(ROW('03.Muestra'!$D$8:$D$42))+1,""),ROW()-892)),"")</f>
        <v>19</v>
      </c>
      <c r="B911" s="114" t="str" cm="1">
        <f t="array" ref="B911">IFERROR(INDEX('03.Muestra'!$C$8:$C$42,SMALL(IF("Página Web"='03.Muestra'!$D$8:$D$42,ROW('03.Muestra'!$C$8:$C$42)-MIN(ROW('03.Muestra'!$D$8:$D$42))+1,""),ROW()-892)),"")</f>
        <v>Normativa</v>
      </c>
      <c r="C911" s="114" t="str" cm="1">
        <f t="array" ref="C911">IFERROR(INDEX('03.Muestra'!$F$8:$F$42,SMALL(IF("Página Web"='03.Muestra'!$D$8:$D$42,ROW('03.Muestra'!$F$8:$F$42)-MIN(ROW('03.Muestra'!$D$8:$D$42))+1,""),ROW()-892)),"")</f>
        <v>https://www.crtm.es/normativa</v>
      </c>
      <c r="D911" s="130" t="s">
        <v>34</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cm="1">
        <f t="array" ref="A912">IFERROR(INDEX('03.Muestra'!$B$8:$B$42,SMALL(IF("Página Web"='03.Muestra'!$D$8:$D$42,ROW('03.Muestra'!$B$8:$B$42)-MIN(ROW('03.Muestra'!$D$8:$D$42))+1,""),ROW()-892)),"")</f>
        <v>20</v>
      </c>
      <c r="B912" s="114" t="str" cm="1">
        <f t="array" ref="B912">IFERROR(INDEX('03.Muestra'!$C$8:$C$42,SMALL(IF("Página Web"='03.Muestra'!$D$8:$D$42,ROW('03.Muestra'!$C$8:$C$42)-MIN(ROW('03.Muestra'!$D$8:$D$42))+1,""),ROW()-892)),"")</f>
        <v>Accesibilidad</v>
      </c>
      <c r="C912" s="114" t="str" cm="1">
        <f t="array" ref="C912">IFERROR(INDEX('03.Muestra'!$F$8:$F$42,SMALL(IF("Página Web"='03.Muestra'!$D$8:$D$42,ROW('03.Muestra'!$F$8:$F$42)-MIN(ROW('03.Muestra'!$D$8:$D$42))+1,""),ROW()-892)),"")</f>
        <v>https://www.crtm.es/accesibilidad</v>
      </c>
      <c r="D912" s="130" t="s">
        <v>34</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cm="1">
        <f t="array" ref="A913">IFERROR(INDEX('03.Muestra'!$B$8:$B$42,SMALL(IF("Página Web"='03.Muestra'!$D$8:$D$42,ROW('03.Muestra'!$B$8:$B$42)-MIN(ROW('03.Muestra'!$D$8:$D$42))+1,""),ROW()-892)),"")</f>
        <v>21</v>
      </c>
      <c r="B913" s="114" t="str" cm="1">
        <f t="array" ref="B913">IFERROR(INDEX('03.Muestra'!$C$8:$C$42,SMALL(IF("Página Web"='03.Muestra'!$D$8:$D$42,ROW('03.Muestra'!$C$8:$C$42)-MIN(ROW('03.Muestra'!$D$8:$D$42))+1,""),ROW()-892)),"")</f>
        <v>Modo accesible</v>
      </c>
      <c r="C913" s="114" t="str" cm="1">
        <f t="array" ref="C913">IFERROR(INDEX('03.Muestra'!$F$8:$F$42,SMALL(IF("Página Web"='03.Muestra'!$D$8:$D$42,ROW('03.Muestra'!$F$8:$F$42)-MIN(ROW('03.Muestra'!$D$8:$D$42))+1,""),ROW()-892)),"")</f>
        <v>https://www.crtm.es/</v>
      </c>
      <c r="D913" s="130" t="s">
        <v>34</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ref="D914:D927" si="47">IF(AND(B914&lt;&gt;"",C914&lt;&gt;""),"N/T","")</f>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https://www.crtm.es/</v>
      </c>
      <c r="D931" s="130" t="s">
        <v>34</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Red de metro</v>
      </c>
      <c r="C932" s="114" t="str" cm="1">
        <f t="array" ref="C932">IFERROR(INDEX('03.Muestra'!$F$8:$F$42,SMALL(IF("Página Web"='03.Muestra'!$D$8:$D$42,ROW('03.Muestra'!$F$8:$F$42)-MIN(ROW('03.Muestra'!$D$8:$D$42))+1,""),ROW()-930)),"")</f>
        <v>https://www.crtm.es/tu-transporte-publico/metro/</v>
      </c>
      <c r="D932" s="130" t="s">
        <v>34</v>
      </c>
      <c r="E932" s="107" t="str">
        <f t="shared" si="48"/>
        <v/>
      </c>
      <c r="F932" s="120">
        <f ca="1">COUNTIF($D931:INDIRECT("$D" &amp;  SUM(ROW()-1,'03.Muestra'!$D$45)-1),F931)</f>
        <v>0</v>
      </c>
      <c r="G932" s="120">
        <f ca="1">COUNTIF($D931:INDIRECT("$D" &amp;  SUM(ROW()-1,'03.Muestra'!$D$45)-1),G931)</f>
        <v>0</v>
      </c>
      <c r="H932" s="120">
        <f ca="1">COUNTIF($D931:INDIRECT("$D" &amp;  SUM(ROW()-1,'03.Muestra'!$D$45)-1),H931)</f>
        <v>21</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Líneas de metro</v>
      </c>
      <c r="C933" s="114" t="str" cm="1">
        <f t="array" ref="C933">IFERROR(INDEX('03.Muestra'!$F$8:$F$42,SMALL(IF("Página Web"='03.Muestra'!$D$8:$D$42,ROW('03.Muestra'!$F$8:$F$42)-MIN(ROW('03.Muestra'!$D$8:$D$42))+1,""),ROW()-930)),"")</f>
        <v>https://www.crtm.es/tu-transporte-publico/metro/lineas/4__1___</v>
      </c>
      <c r="D933" s="130" t="s">
        <v>34</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Estaciones Aeropuerto T1-T2-T3</v>
      </c>
      <c r="C934" s="114" t="str" cm="1">
        <f t="array" ref="C934">IFERROR(INDEX('03.Muestra'!$F$8:$F$42,SMALL(IF("Página Web"='03.Muestra'!$D$8:$D$42,ROW('03.Muestra'!$F$8:$F$42)-MIN(ROW('03.Muestra'!$D$8:$D$42))+1,""),ROW()-930)),"")</f>
        <v>https://www.crtm.es/tu-transporte-publico/metro/estaciones/4_159</v>
      </c>
      <c r="D934" s="130" t="s">
        <v>34</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Muévete por Madrid</v>
      </c>
      <c r="C935" s="114" t="str" cm="1">
        <f t="array" ref="C935">IFERROR(INDEX('03.Muestra'!$F$8:$F$42,SMALL(IF("Página Web"='03.Muestra'!$D$8:$D$42,ROW('03.Muestra'!$F$8:$F$42)-MIN(ROW('03.Muestra'!$D$8:$D$42))+1,""),ROW()-930)),"")</f>
        <v>https://www.crtm.es/muevete-por-madrid/</v>
      </c>
      <c r="D935" s="130" t="s">
        <v>34</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conexiones con aeropuerto y principales estaciones</v>
      </c>
      <c r="C936" s="114" t="str" cm="1">
        <f t="array" ref="C936">IFERROR(INDEX('03.Muestra'!$F$8:$F$42,SMALL(IF("Página Web"='03.Muestra'!$D$8:$D$42,ROW('03.Muestra'!$F$8:$F$42)-MIN(ROW('03.Muestra'!$D$8:$D$42))+1,""),ROW()-930)),"")</f>
        <v xml:space="preserve">https://www.crtm.es/muevete-por-madrid/conexiones-con-aeropuerto-y-principales-estaciones/ </v>
      </c>
      <c r="D936" s="130" t="s">
        <v>34</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Atención desplazados Ucranianos</v>
      </c>
      <c r="C937" s="114" t="str" cm="1">
        <f t="array" ref="C937">IFERROR(INDEX('03.Muestra'!$F$8:$F$42,SMALL(IF("Página Web"='03.Muestra'!$D$8:$D$42,ROW('03.Muestra'!$F$8:$F$42)-MIN(ROW('03.Muestra'!$D$8:$D$42))+1,""),ROW()-930)),"")</f>
        <v>https://www.crtm.es/atencion-desplazados-ucranianos/#item3</v>
      </c>
      <c r="D937" s="130" t="s">
        <v>34</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Preguntas frecuentes (Tarjeta transporte público personal)</v>
      </c>
      <c r="C938" s="114" t="str" cm="1">
        <f t="array" ref="C938">IFERROR(INDEX('03.Muestra'!$F$8:$F$42,SMALL(IF("Página Web"='03.Muestra'!$D$8:$D$42,ROW('03.Muestra'!$F$8:$F$42)-MIN(ROW('03.Muestra'!$D$8:$D$42))+1,""),ROW()-930)),"")</f>
        <v xml:space="preserve"> https://www.crtm.es/billetes-y-tarifas/tarjeta-transporte-publico/preguntas-frecuentes/#item23</v>
      </c>
      <c r="D938" s="130" t="s">
        <v>34</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Billetes y abonos (Metro)</v>
      </c>
      <c r="C939" s="114" t="str" cm="1">
        <f t="array" ref="C939">IFERROR(INDEX('03.Muestra'!$F$8:$F$42,SMALL(IF("Página Web"='03.Muestra'!$D$8:$D$42,ROW('03.Muestra'!$F$8:$F$42)-MIN(ROW('03.Muestra'!$D$8:$D$42))+1,""),ROW()-930)),"")</f>
        <v>https://www.crtm.es/billetes-y-tarifas/billetes-y-abonos/metro/?idPestana=1&amp;lang=#item10</v>
      </c>
      <c r="D939" s="130" t="s">
        <v>34</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Billetes y tarifas (App)</v>
      </c>
      <c r="C940" s="114" t="str" cm="1">
        <f t="array" ref="C940">IFERROR(INDEX('03.Muestra'!$F$8:$F$42,SMALL(IF("Página Web"='03.Muestra'!$D$8:$D$42,ROW('03.Muestra'!$F$8:$F$42)-MIN(ROW('03.Muestra'!$D$8:$D$42))+1,""),ROW()-930)),"")</f>
        <v>https://www.crtm.es/billetes-y-tarifas/apps/</v>
      </c>
      <c r="D940" s="130" t="s">
        <v>34</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Atención al cliente</v>
      </c>
      <c r="C941" s="114" t="str" cm="1">
        <f t="array" ref="C941">IFERROR(INDEX('03.Muestra'!$F$8:$F$42,SMALL(IF("Página Web"='03.Muestra'!$D$8:$D$42,ROW('03.Muestra'!$F$8:$F$42)-MIN(ROW('03.Muestra'!$D$8:$D$42))+1,""),ROW()-930)),"")</f>
        <v>https://www.crtm.es/atencion-al-cliente/</v>
      </c>
      <c r="D941" s="130" t="s">
        <v>34</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Conócenos</v>
      </c>
      <c r="C942" s="114" t="str" cm="1">
        <f t="array" ref="C942">IFERROR(INDEX('03.Muestra'!$F$8:$F$42,SMALL(IF("Página Web"='03.Muestra'!$D$8:$D$42,ROW('03.Muestra'!$F$8:$F$42)-MIN(ROW('03.Muestra'!$D$8:$D$42))+1,""),ROW()-930)),"")</f>
        <v>https://www.crtm.es/conocenos/#CentrodeDocumentacion</v>
      </c>
      <c r="D942" s="130" t="s">
        <v>34</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Actualidad del servicio</v>
      </c>
      <c r="C943" s="114" t="str" cm="1">
        <f t="array" ref="C943">IFERROR(INDEX('03.Muestra'!$F$8:$F$42,SMALL(IF("Página Web"='03.Muestra'!$D$8:$D$42,ROW('03.Muestra'!$F$8:$F$42)-MIN(ROW('03.Muestra'!$D$8:$D$42))+1,""),ROW()-930)),"")</f>
        <v>https://www.crtm.es/comunicacion/actualidad-del-servicio/?idPestana=1&amp;lang=es</v>
      </c>
      <c r="D943" s="130" t="s">
        <v>34</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Galería de fotos</v>
      </c>
      <c r="C944" s="114" t="str" cm="1">
        <f t="array" ref="C944">IFERROR(INDEX('03.Muestra'!$F$8:$F$42,SMALL(IF("Página Web"='03.Muestra'!$D$8:$D$42,ROW('03.Muestra'!$F$8:$F$42)-MIN(ROW('03.Muestra'!$D$8:$D$42))+1,""),ROW()-930)),"")</f>
        <v>https://www.crtm.es/comunicacion/multimedia/galeria-de-fotos/</v>
      </c>
      <c r="D944" s="130" t="s">
        <v>34</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Mapa web</v>
      </c>
      <c r="C945" s="114" t="str" cm="1">
        <f t="array" ref="C945">IFERROR(INDEX('03.Muestra'!$F$8:$F$42,SMALL(IF("Página Web"='03.Muestra'!$D$8:$D$42,ROW('03.Muestra'!$F$8:$F$42)-MIN(ROW('03.Muestra'!$D$8:$D$42))+1,""),ROW()-930)),"")</f>
        <v>https://www.crtm.es/mapa-web</v>
      </c>
      <c r="D945" s="130" t="s">
        <v>34</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Protección de datos</v>
      </c>
      <c r="C946" s="114" t="str" cm="1">
        <f t="array" ref="C946">IFERROR(INDEX('03.Muestra'!$F$8:$F$42,SMALL(IF("Página Web"='03.Muestra'!$D$8:$D$42,ROW('03.Muestra'!$F$8:$F$42)-MIN(ROW('03.Muestra'!$D$8:$D$42))+1,""),ROW()-930)),"")</f>
        <v>https://www.crtm.es/proteccion-de-datos</v>
      </c>
      <c r="D946" s="130" t="s">
        <v>34</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Política de cookies</v>
      </c>
      <c r="C947" s="114" t="str" cm="1">
        <f t="array" ref="C947">IFERROR(INDEX('03.Muestra'!$F$8:$F$42,SMALL(IF("Página Web"='03.Muestra'!$D$8:$D$42,ROW('03.Muestra'!$F$8:$F$42)-MIN(ROW('03.Muestra'!$D$8:$D$42))+1,""),ROW()-930)),"")</f>
        <v>https://www.crtm.es/politica-de-cookies</v>
      </c>
      <c r="D947" s="130" t="s">
        <v>34</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cm="1">
        <f t="array" ref="A948">IFERROR(INDEX('03.Muestra'!$B$8:$B$42,SMALL(IF("Página Web"='03.Muestra'!$D$8:$D$42,ROW('03.Muestra'!$B$8:$B$42)-MIN(ROW('03.Muestra'!$D$8:$D$42))+1,""),ROW()-930)),"")</f>
        <v>18</v>
      </c>
      <c r="B948" s="114" t="str" cm="1">
        <f t="array" ref="B948">IFERROR(INDEX('03.Muestra'!$C$8:$C$42,SMALL(IF("Página Web"='03.Muestra'!$D$8:$D$42,ROW('03.Muestra'!$C$8:$C$42)-MIN(ROW('03.Muestra'!$D$8:$D$42))+1,""),ROW()-930)),"")</f>
        <v>Aviso Legal</v>
      </c>
      <c r="C948" s="114" t="str" cm="1">
        <f t="array" ref="C948">IFERROR(INDEX('03.Muestra'!$F$8:$F$42,SMALL(IF("Página Web"='03.Muestra'!$D$8:$D$42,ROW('03.Muestra'!$F$8:$F$42)-MIN(ROW('03.Muestra'!$D$8:$D$42))+1,""),ROW()-930)),"")</f>
        <v>https://www.crtm.es/aviso-legal</v>
      </c>
      <c r="D948" s="130" t="s">
        <v>34</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cm="1">
        <f t="array" ref="A949">IFERROR(INDEX('03.Muestra'!$B$8:$B$42,SMALL(IF("Página Web"='03.Muestra'!$D$8:$D$42,ROW('03.Muestra'!$B$8:$B$42)-MIN(ROW('03.Muestra'!$D$8:$D$42))+1,""),ROW()-930)),"")</f>
        <v>19</v>
      </c>
      <c r="B949" s="114" t="str" cm="1">
        <f t="array" ref="B949">IFERROR(INDEX('03.Muestra'!$C$8:$C$42,SMALL(IF("Página Web"='03.Muestra'!$D$8:$D$42,ROW('03.Muestra'!$C$8:$C$42)-MIN(ROW('03.Muestra'!$D$8:$D$42))+1,""),ROW()-930)),"")</f>
        <v>Normativa</v>
      </c>
      <c r="C949" s="114" t="str" cm="1">
        <f t="array" ref="C949">IFERROR(INDEX('03.Muestra'!$F$8:$F$42,SMALL(IF("Página Web"='03.Muestra'!$D$8:$D$42,ROW('03.Muestra'!$F$8:$F$42)-MIN(ROW('03.Muestra'!$D$8:$D$42))+1,""),ROW()-930)),"")</f>
        <v>https://www.crtm.es/normativa</v>
      </c>
      <c r="D949" s="130" t="s">
        <v>34</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cm="1">
        <f t="array" ref="A950">IFERROR(INDEX('03.Muestra'!$B$8:$B$42,SMALL(IF("Página Web"='03.Muestra'!$D$8:$D$42,ROW('03.Muestra'!$B$8:$B$42)-MIN(ROW('03.Muestra'!$D$8:$D$42))+1,""),ROW()-930)),"")</f>
        <v>20</v>
      </c>
      <c r="B950" s="114" t="str" cm="1">
        <f t="array" ref="B950">IFERROR(INDEX('03.Muestra'!$C$8:$C$42,SMALL(IF("Página Web"='03.Muestra'!$D$8:$D$42,ROW('03.Muestra'!$C$8:$C$42)-MIN(ROW('03.Muestra'!$D$8:$D$42))+1,""),ROW()-930)),"")</f>
        <v>Accesibilidad</v>
      </c>
      <c r="C950" s="114" t="str" cm="1">
        <f t="array" ref="C950">IFERROR(INDEX('03.Muestra'!$F$8:$F$42,SMALL(IF("Página Web"='03.Muestra'!$D$8:$D$42,ROW('03.Muestra'!$F$8:$F$42)-MIN(ROW('03.Muestra'!$D$8:$D$42))+1,""),ROW()-930)),"")</f>
        <v>https://www.crtm.es/accesibilidad</v>
      </c>
      <c r="D950" s="130" t="s">
        <v>34</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cm="1">
        <f t="array" ref="A951">IFERROR(INDEX('03.Muestra'!$B$8:$B$42,SMALL(IF("Página Web"='03.Muestra'!$D$8:$D$42,ROW('03.Muestra'!$B$8:$B$42)-MIN(ROW('03.Muestra'!$D$8:$D$42))+1,""),ROW()-930)),"")</f>
        <v>21</v>
      </c>
      <c r="B951" s="114" t="str" cm="1">
        <f t="array" ref="B951">IFERROR(INDEX('03.Muestra'!$C$8:$C$42,SMALL(IF("Página Web"='03.Muestra'!$D$8:$D$42,ROW('03.Muestra'!$C$8:$C$42)-MIN(ROW('03.Muestra'!$D$8:$D$42))+1,""),ROW()-930)),"")</f>
        <v>Modo accesible</v>
      </c>
      <c r="C951" s="114" t="str" cm="1">
        <f t="array" ref="C951">IFERROR(INDEX('03.Muestra'!$F$8:$F$42,SMALL(IF("Página Web"='03.Muestra'!$D$8:$D$42,ROW('03.Muestra'!$F$8:$F$42)-MIN(ROW('03.Muestra'!$D$8:$D$42))+1,""),ROW()-930)),"")</f>
        <v>https://www.crtm.es/</v>
      </c>
      <c r="D951" s="130" t="s">
        <v>34</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ref="D952:D965" si="49">IF(AND(B952&lt;&gt;"",C952&lt;&gt;""),"N/T","")</f>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https://www.crtm.es/</v>
      </c>
      <c r="D969" s="130" t="s">
        <v>25</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Red de metro</v>
      </c>
      <c r="C970" s="114" t="str" cm="1">
        <f t="array" ref="C970">IFERROR(INDEX('03.Muestra'!$F$8:$F$42,SMALL(IF("Página Web"='03.Muestra'!$D$8:$D$42,ROW('03.Muestra'!$F$8:$F$42)-MIN(ROW('03.Muestra'!$D$8:$D$42))+1,""),ROW()-968)),"")</f>
        <v>https://www.crtm.es/tu-transporte-publico/metro/</v>
      </c>
      <c r="D970" s="130" t="s">
        <v>25</v>
      </c>
      <c r="E970" s="107" t="str">
        <f t="shared" si="50"/>
        <v/>
      </c>
      <c r="F970" s="120">
        <f ca="1">COUNTIF($D969:INDIRECT("$D" &amp;  SUM(ROW()-1,'03.Muestra'!$D$45)-1),F969)</f>
        <v>0</v>
      </c>
      <c r="G970" s="120">
        <f ca="1">COUNTIF($D969:INDIRECT("$D" &amp;  SUM(ROW()-1,'03.Muestra'!$D$45)-1),G969)</f>
        <v>0</v>
      </c>
      <c r="H970" s="120">
        <f ca="1">COUNTIF($D969:INDIRECT("$D" &amp;  SUM(ROW()-1,'03.Muestra'!$D$45)-1),H969)</f>
        <v>1</v>
      </c>
      <c r="I970" s="120">
        <f ca="1">COUNTIF($D969:INDIRECT("$D" &amp;  SUM(ROW()-1,'03.Muestra'!$D$45)-1),I969)</f>
        <v>0</v>
      </c>
      <c r="J970" s="120">
        <f ca="1">COUNTIF($D969:INDIRECT("$D" &amp;  SUM(ROW()-1,'03.Muestra'!$D$45)-1),J969)</f>
        <v>20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Líneas de metro</v>
      </c>
      <c r="C971" s="114" t="str" cm="1">
        <f t="array" ref="C971">IFERROR(INDEX('03.Muestra'!$F$8:$F$42,SMALL(IF("Página Web"='03.Muestra'!$D$8:$D$42,ROW('03.Muestra'!$F$8:$F$42)-MIN(ROW('03.Muestra'!$D$8:$D$42))+1,""),ROW()-968)),"")</f>
        <v>https://www.crtm.es/tu-transporte-publico/metro/lineas/4__1___</v>
      </c>
      <c r="D971" s="130" t="s">
        <v>25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Estaciones Aeropuerto T1-T2-T3</v>
      </c>
      <c r="C972" s="114" t="str" cm="1">
        <f t="array" ref="C972">IFERROR(INDEX('03.Muestra'!$F$8:$F$42,SMALL(IF("Página Web"='03.Muestra'!$D$8:$D$42,ROW('03.Muestra'!$F$8:$F$42)-MIN(ROW('03.Muestra'!$D$8:$D$42))+1,""),ROW()-968)),"")</f>
        <v>https://www.crtm.es/tu-transporte-publico/metro/estaciones/4_159</v>
      </c>
      <c r="D972" s="130" t="s">
        <v>25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Muévete por Madrid</v>
      </c>
      <c r="C973" s="114" t="str" cm="1">
        <f t="array" ref="C973">IFERROR(INDEX('03.Muestra'!$F$8:$F$42,SMALL(IF("Página Web"='03.Muestra'!$D$8:$D$42,ROW('03.Muestra'!$F$8:$F$42)-MIN(ROW('03.Muestra'!$D$8:$D$42))+1,""),ROW()-968)),"")</f>
        <v>https://www.crtm.es/muevete-por-madrid/</v>
      </c>
      <c r="D973" s="130" t="s">
        <v>25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conexiones con aeropuerto y principales estaciones</v>
      </c>
      <c r="C974" s="114" t="str" cm="1">
        <f t="array" ref="C974">IFERROR(INDEX('03.Muestra'!$F$8:$F$42,SMALL(IF("Página Web"='03.Muestra'!$D$8:$D$42,ROW('03.Muestra'!$F$8:$F$42)-MIN(ROW('03.Muestra'!$D$8:$D$42))+1,""),ROW()-968)),"")</f>
        <v xml:space="preserve">https://www.crtm.es/muevete-por-madrid/conexiones-con-aeropuerto-y-principales-estaciones/ </v>
      </c>
      <c r="D974" s="130" t="s">
        <v>25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Atención desplazados Ucranianos</v>
      </c>
      <c r="C975" s="114" t="str" cm="1">
        <f t="array" ref="C975">IFERROR(INDEX('03.Muestra'!$F$8:$F$42,SMALL(IF("Página Web"='03.Muestra'!$D$8:$D$42,ROW('03.Muestra'!$F$8:$F$42)-MIN(ROW('03.Muestra'!$D$8:$D$42))+1,""),ROW()-968)),"")</f>
        <v>https://www.crtm.es/atencion-desplazados-ucranianos/#item3</v>
      </c>
      <c r="D975" s="130" t="s">
        <v>25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Preguntas frecuentes (Tarjeta transporte público personal)</v>
      </c>
      <c r="C976" s="114" t="str" cm="1">
        <f t="array" ref="C976">IFERROR(INDEX('03.Muestra'!$F$8:$F$42,SMALL(IF("Página Web"='03.Muestra'!$D$8:$D$42,ROW('03.Muestra'!$F$8:$F$42)-MIN(ROW('03.Muestra'!$D$8:$D$42))+1,""),ROW()-968)),"")</f>
        <v xml:space="preserve"> https://www.crtm.es/billetes-y-tarifas/tarjeta-transporte-publico/preguntas-frecuentes/#item23</v>
      </c>
      <c r="D976" s="130" t="s">
        <v>25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Billetes y abonos (Metro)</v>
      </c>
      <c r="C977" s="114" t="str" cm="1">
        <f t="array" ref="C977">IFERROR(INDEX('03.Muestra'!$F$8:$F$42,SMALL(IF("Página Web"='03.Muestra'!$D$8:$D$42,ROW('03.Muestra'!$F$8:$F$42)-MIN(ROW('03.Muestra'!$D$8:$D$42))+1,""),ROW()-968)),"")</f>
        <v>https://www.crtm.es/billetes-y-tarifas/billetes-y-abonos/metro/?idPestana=1&amp;lang=#item10</v>
      </c>
      <c r="D977" s="130" t="s">
        <v>25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Billetes y tarifas (App)</v>
      </c>
      <c r="C978" s="114" t="str" cm="1">
        <f t="array" ref="C978">IFERROR(INDEX('03.Muestra'!$F$8:$F$42,SMALL(IF("Página Web"='03.Muestra'!$D$8:$D$42,ROW('03.Muestra'!$F$8:$F$42)-MIN(ROW('03.Muestra'!$D$8:$D$42))+1,""),ROW()-968)),"")</f>
        <v>https://www.crtm.es/billetes-y-tarifas/apps/</v>
      </c>
      <c r="D978" s="130" t="s">
        <v>25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Atención al cliente</v>
      </c>
      <c r="C979" s="114" t="str" cm="1">
        <f t="array" ref="C979">IFERROR(INDEX('03.Muestra'!$F$8:$F$42,SMALL(IF("Página Web"='03.Muestra'!$D$8:$D$42,ROW('03.Muestra'!$F$8:$F$42)-MIN(ROW('03.Muestra'!$D$8:$D$42))+1,""),ROW()-968)),"")</f>
        <v>https://www.crtm.es/atencion-al-cliente/</v>
      </c>
      <c r="D979" s="130" t="s">
        <v>25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Conócenos</v>
      </c>
      <c r="C980" s="114" t="str" cm="1">
        <f t="array" ref="C980">IFERROR(INDEX('03.Muestra'!$F$8:$F$42,SMALL(IF("Página Web"='03.Muestra'!$D$8:$D$42,ROW('03.Muestra'!$F$8:$F$42)-MIN(ROW('03.Muestra'!$D$8:$D$42))+1,""),ROW()-968)),"")</f>
        <v>https://www.crtm.es/conocenos/#CentrodeDocumentacion</v>
      </c>
      <c r="D980" s="130" t="s">
        <v>25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Actualidad del servicio</v>
      </c>
      <c r="C981" s="114" t="str" cm="1">
        <f t="array" ref="C981">IFERROR(INDEX('03.Muestra'!$F$8:$F$42,SMALL(IF("Página Web"='03.Muestra'!$D$8:$D$42,ROW('03.Muestra'!$F$8:$F$42)-MIN(ROW('03.Muestra'!$D$8:$D$42))+1,""),ROW()-968)),"")</f>
        <v>https://www.crtm.es/comunicacion/actualidad-del-servicio/?idPestana=1&amp;lang=es</v>
      </c>
      <c r="D981" s="130" t="s">
        <v>25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Galería de fotos</v>
      </c>
      <c r="C982" s="114" t="str" cm="1">
        <f t="array" ref="C982">IFERROR(INDEX('03.Muestra'!$F$8:$F$42,SMALL(IF("Página Web"='03.Muestra'!$D$8:$D$42,ROW('03.Muestra'!$F$8:$F$42)-MIN(ROW('03.Muestra'!$D$8:$D$42))+1,""),ROW()-968)),"")</f>
        <v>https://www.crtm.es/comunicacion/multimedia/galeria-de-fotos/</v>
      </c>
      <c r="D982" s="130" t="s">
        <v>25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Mapa web</v>
      </c>
      <c r="C983" s="114" t="str" cm="1">
        <f t="array" ref="C983">IFERROR(INDEX('03.Muestra'!$F$8:$F$42,SMALL(IF("Página Web"='03.Muestra'!$D$8:$D$42,ROW('03.Muestra'!$F$8:$F$42)-MIN(ROW('03.Muestra'!$D$8:$D$42))+1,""),ROW()-968)),"")</f>
        <v>https://www.crtm.es/mapa-web</v>
      </c>
      <c r="D983" s="130" t="s">
        <v>25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Protección de datos</v>
      </c>
      <c r="C984" s="114" t="str" cm="1">
        <f t="array" ref="C984">IFERROR(INDEX('03.Muestra'!$F$8:$F$42,SMALL(IF("Página Web"='03.Muestra'!$D$8:$D$42,ROW('03.Muestra'!$F$8:$F$42)-MIN(ROW('03.Muestra'!$D$8:$D$42))+1,""),ROW()-968)),"")</f>
        <v>https://www.crtm.es/proteccion-de-datos</v>
      </c>
      <c r="D984" s="130" t="s">
        <v>25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Política de cookies</v>
      </c>
      <c r="C985" s="114" t="str" cm="1">
        <f t="array" ref="C985">IFERROR(INDEX('03.Muestra'!$F$8:$F$42,SMALL(IF("Página Web"='03.Muestra'!$D$8:$D$42,ROW('03.Muestra'!$F$8:$F$42)-MIN(ROW('03.Muestra'!$D$8:$D$42))+1,""),ROW()-968)),"")</f>
        <v>https://www.crtm.es/politica-de-cookies</v>
      </c>
      <c r="D985" s="130" t="s">
        <v>25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cm="1">
        <f t="array" ref="A986">IFERROR(INDEX('03.Muestra'!$B$8:$B$42,SMALL(IF("Página Web"='03.Muestra'!$D$8:$D$42,ROW('03.Muestra'!$B$8:$B$42)-MIN(ROW('03.Muestra'!$D$8:$D$42))+1,""),ROW()-968)),"")</f>
        <v>18</v>
      </c>
      <c r="B986" s="114" t="str" cm="1">
        <f t="array" ref="B986">IFERROR(INDEX('03.Muestra'!$C$8:$C$42,SMALL(IF("Página Web"='03.Muestra'!$D$8:$D$42,ROW('03.Muestra'!$C$8:$C$42)-MIN(ROW('03.Muestra'!$D$8:$D$42))+1,""),ROW()-968)),"")</f>
        <v>Aviso Legal</v>
      </c>
      <c r="C986" s="114" t="str" cm="1">
        <f t="array" ref="C986">IFERROR(INDEX('03.Muestra'!$F$8:$F$42,SMALL(IF("Página Web"='03.Muestra'!$D$8:$D$42,ROW('03.Muestra'!$F$8:$F$42)-MIN(ROW('03.Muestra'!$D$8:$D$42))+1,""),ROW()-968)),"")</f>
        <v>https://www.crtm.es/aviso-legal</v>
      </c>
      <c r="D986" s="130" t="s">
        <v>25</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cm="1">
        <f t="array" ref="A987">IFERROR(INDEX('03.Muestra'!$B$8:$B$42,SMALL(IF("Página Web"='03.Muestra'!$D$8:$D$42,ROW('03.Muestra'!$B$8:$B$42)-MIN(ROW('03.Muestra'!$D$8:$D$42))+1,""),ROW()-968)),"")</f>
        <v>19</v>
      </c>
      <c r="B987" s="114" t="str" cm="1">
        <f t="array" ref="B987">IFERROR(INDEX('03.Muestra'!$C$8:$C$42,SMALL(IF("Página Web"='03.Muestra'!$D$8:$D$42,ROW('03.Muestra'!$C$8:$C$42)-MIN(ROW('03.Muestra'!$D$8:$D$42))+1,""),ROW()-968)),"")</f>
        <v>Normativa</v>
      </c>
      <c r="C987" s="114" t="str" cm="1">
        <f t="array" ref="C987">IFERROR(INDEX('03.Muestra'!$F$8:$F$42,SMALL(IF("Página Web"='03.Muestra'!$D$8:$D$42,ROW('03.Muestra'!$F$8:$F$42)-MIN(ROW('03.Muestra'!$D$8:$D$42))+1,""),ROW()-968)),"")</f>
        <v>https://www.crtm.es/normativa</v>
      </c>
      <c r="D987" s="130" t="s">
        <v>25</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cm="1">
        <f t="array" ref="A988">IFERROR(INDEX('03.Muestra'!$B$8:$B$42,SMALL(IF("Página Web"='03.Muestra'!$D$8:$D$42,ROW('03.Muestra'!$B$8:$B$42)-MIN(ROW('03.Muestra'!$D$8:$D$42))+1,""),ROW()-968)),"")</f>
        <v>20</v>
      </c>
      <c r="B988" s="114" t="str" cm="1">
        <f t="array" ref="B988">IFERROR(INDEX('03.Muestra'!$C$8:$C$42,SMALL(IF("Página Web"='03.Muestra'!$D$8:$D$42,ROW('03.Muestra'!$C$8:$C$42)-MIN(ROW('03.Muestra'!$D$8:$D$42))+1,""),ROW()-968)),"")</f>
        <v>Accesibilidad</v>
      </c>
      <c r="C988" s="114" t="str" cm="1">
        <f t="array" ref="C988">IFERROR(INDEX('03.Muestra'!$F$8:$F$42,SMALL(IF("Página Web"='03.Muestra'!$D$8:$D$42,ROW('03.Muestra'!$F$8:$F$42)-MIN(ROW('03.Muestra'!$D$8:$D$42))+1,""),ROW()-968)),"")</f>
        <v>https://www.crtm.es/accesibilidad</v>
      </c>
      <c r="D988" s="130" t="s">
        <v>25</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cm="1">
        <f t="array" ref="A989">IFERROR(INDEX('03.Muestra'!$B$8:$B$42,SMALL(IF("Página Web"='03.Muestra'!$D$8:$D$42,ROW('03.Muestra'!$B$8:$B$42)-MIN(ROW('03.Muestra'!$D$8:$D$42))+1,""),ROW()-968)),"")</f>
        <v>21</v>
      </c>
      <c r="B989" s="114" t="str" cm="1">
        <f t="array" ref="B989">IFERROR(INDEX('03.Muestra'!$C$8:$C$42,SMALL(IF("Página Web"='03.Muestra'!$D$8:$D$42,ROW('03.Muestra'!$C$8:$C$42)-MIN(ROW('03.Muestra'!$D$8:$D$42))+1,""),ROW()-968)),"")</f>
        <v>Modo accesible</v>
      </c>
      <c r="C989" s="114" t="str" cm="1">
        <f t="array" ref="C989">IFERROR(INDEX('03.Muestra'!$F$8:$F$42,SMALL(IF("Página Web"='03.Muestra'!$D$8:$D$42,ROW('03.Muestra'!$F$8:$F$42)-MIN(ROW('03.Muestra'!$D$8:$D$42))+1,""),ROW()-968)),"")</f>
        <v>https://www.crtm.es/</v>
      </c>
      <c r="D989" s="130" t="s">
        <v>34</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ref="D990:D1003" si="51">IF(AND(B990&lt;&gt;"",C990&lt;&gt;""),"N/T","")</f>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https://www.crtm.es/</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Red de metro</v>
      </c>
      <c r="C1008" s="114" t="str" cm="1">
        <f t="array" ref="C1008">IFERROR(INDEX('03.Muestra'!$F$8:$F$42,SMALL(IF("Página Web"='03.Muestra'!$D$8:$D$42,ROW('03.Muestra'!$F$8:$F$42)-MIN(ROW('03.Muestra'!$D$8:$D$42))+1,""),ROW()-1006)),"")</f>
        <v>https://www.crtm.es/tu-transporte-publico/metro/</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1</v>
      </c>
      <c r="I1008" s="120">
        <f ca="1">COUNTIF($D1007:INDIRECT("$D" &amp;  SUM(ROW()-1,'03.Muestra'!$D$45)-1),I1007)</f>
        <v>1</v>
      </c>
      <c r="J1008" s="120">
        <f ca="1">COUNTIF($D1007:INDIRECT("$D" &amp;  SUM(ROW()-1,'03.Muestra'!$D$45)-1),J1007)</f>
        <v>19</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Líneas de metro</v>
      </c>
      <c r="C1009" s="114" t="str" cm="1">
        <f t="array" ref="C1009">IFERROR(INDEX('03.Muestra'!$F$8:$F$42,SMALL(IF("Página Web"='03.Muestra'!$D$8:$D$42,ROW('03.Muestra'!$F$8:$F$42)-MIN(ROW('03.Muestra'!$D$8:$D$42))+1,""),ROW()-1006)),"")</f>
        <v>https://www.crtm.es/tu-transporte-publico/metro/lineas/4__1___</v>
      </c>
      <c r="D1009" s="130" t="s">
        <v>27</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Estaciones Aeropuerto T1-T2-T3</v>
      </c>
      <c r="C1010" s="114" t="str" cm="1">
        <f t="array" ref="C1010">IFERROR(INDEX('03.Muestra'!$F$8:$F$42,SMALL(IF("Página Web"='03.Muestra'!$D$8:$D$42,ROW('03.Muestra'!$F$8:$F$42)-MIN(ROW('03.Muestra'!$D$8:$D$42))+1,""),ROW()-1006)),"")</f>
        <v>https://www.crtm.es/tu-transporte-publico/metro/estaciones/4_159</v>
      </c>
      <c r="D1010" s="130" t="s">
        <v>25</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Muévete por Madrid</v>
      </c>
      <c r="C1011" s="114" t="str" cm="1">
        <f t="array" ref="C1011">IFERROR(INDEX('03.Muestra'!$F$8:$F$42,SMALL(IF("Página Web"='03.Muestra'!$D$8:$D$42,ROW('03.Muestra'!$F$8:$F$42)-MIN(ROW('03.Muestra'!$D$8:$D$42))+1,""),ROW()-1006)),"")</f>
        <v>https://www.crtm.es/muevete-por-madrid/</v>
      </c>
      <c r="D1011" s="130" t="s">
        <v>25</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conexiones con aeropuerto y principales estaciones</v>
      </c>
      <c r="C1012" s="114" t="str" cm="1">
        <f t="array" ref="C1012">IFERROR(INDEX('03.Muestra'!$F$8:$F$42,SMALL(IF("Página Web"='03.Muestra'!$D$8:$D$42,ROW('03.Muestra'!$F$8:$F$42)-MIN(ROW('03.Muestra'!$D$8:$D$42))+1,""),ROW()-1006)),"")</f>
        <v xml:space="preserve">https://www.crtm.es/muevete-por-madrid/conexiones-con-aeropuerto-y-principales-estaciones/ </v>
      </c>
      <c r="D1012" s="130" t="s">
        <v>25</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Atención desplazados Ucranianos</v>
      </c>
      <c r="C1013" s="114" t="str" cm="1">
        <f t="array" ref="C1013">IFERROR(INDEX('03.Muestra'!$F$8:$F$42,SMALL(IF("Página Web"='03.Muestra'!$D$8:$D$42,ROW('03.Muestra'!$F$8:$F$42)-MIN(ROW('03.Muestra'!$D$8:$D$42))+1,""),ROW()-1006)),"")</f>
        <v>https://www.crtm.es/atencion-desplazados-ucranianos/#item3</v>
      </c>
      <c r="D1013" s="130" t="s">
        <v>25</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Preguntas frecuentes (Tarjeta transporte público personal)</v>
      </c>
      <c r="C1014" s="114" t="str" cm="1">
        <f t="array" ref="C1014">IFERROR(INDEX('03.Muestra'!$F$8:$F$42,SMALL(IF("Página Web"='03.Muestra'!$D$8:$D$42,ROW('03.Muestra'!$F$8:$F$42)-MIN(ROW('03.Muestra'!$D$8:$D$42))+1,""),ROW()-1006)),"")</f>
        <v xml:space="preserve"> https://www.crtm.es/billetes-y-tarifas/tarjeta-transporte-publico/preguntas-frecuentes/#item23</v>
      </c>
      <c r="D1014" s="130" t="s">
        <v>25</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Billetes y abonos (Metro)</v>
      </c>
      <c r="C1015" s="114" t="str" cm="1">
        <f t="array" ref="C1015">IFERROR(INDEX('03.Muestra'!$F$8:$F$42,SMALL(IF("Página Web"='03.Muestra'!$D$8:$D$42,ROW('03.Muestra'!$F$8:$F$42)-MIN(ROW('03.Muestra'!$D$8:$D$42))+1,""),ROW()-1006)),"")</f>
        <v>https://www.crtm.es/billetes-y-tarifas/billetes-y-abonos/metro/?idPestana=1&amp;lang=#item10</v>
      </c>
      <c r="D1015" s="130" t="s">
        <v>25</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Billetes y tarifas (App)</v>
      </c>
      <c r="C1016" s="114" t="str" cm="1">
        <f t="array" ref="C1016">IFERROR(INDEX('03.Muestra'!$F$8:$F$42,SMALL(IF("Página Web"='03.Muestra'!$D$8:$D$42,ROW('03.Muestra'!$F$8:$F$42)-MIN(ROW('03.Muestra'!$D$8:$D$42))+1,""),ROW()-1006)),"")</f>
        <v>https://www.crtm.es/billetes-y-tarifas/apps/</v>
      </c>
      <c r="D1016" s="130" t="s">
        <v>25</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Atención al cliente</v>
      </c>
      <c r="C1017" s="114" t="str" cm="1">
        <f t="array" ref="C1017">IFERROR(INDEX('03.Muestra'!$F$8:$F$42,SMALL(IF("Página Web"='03.Muestra'!$D$8:$D$42,ROW('03.Muestra'!$F$8:$F$42)-MIN(ROW('03.Muestra'!$D$8:$D$42))+1,""),ROW()-1006)),"")</f>
        <v>https://www.crtm.es/atencion-al-cliente/</v>
      </c>
      <c r="D1017" s="130" t="s">
        <v>25</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Conócenos</v>
      </c>
      <c r="C1018" s="114" t="str" cm="1">
        <f t="array" ref="C1018">IFERROR(INDEX('03.Muestra'!$F$8:$F$42,SMALL(IF("Página Web"='03.Muestra'!$D$8:$D$42,ROW('03.Muestra'!$F$8:$F$42)-MIN(ROW('03.Muestra'!$D$8:$D$42))+1,""),ROW()-1006)),"")</f>
        <v>https://www.crtm.es/conocenos/#CentrodeDocumentacion</v>
      </c>
      <c r="D1018" s="130" t="s">
        <v>25</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Actualidad del servicio</v>
      </c>
      <c r="C1019" s="114" t="str" cm="1">
        <f t="array" ref="C1019">IFERROR(INDEX('03.Muestra'!$F$8:$F$42,SMALL(IF("Página Web"='03.Muestra'!$D$8:$D$42,ROW('03.Muestra'!$F$8:$F$42)-MIN(ROW('03.Muestra'!$D$8:$D$42))+1,""),ROW()-1006)),"")</f>
        <v>https://www.crtm.es/comunicacion/actualidad-del-servicio/?idPestana=1&amp;lang=es</v>
      </c>
      <c r="D1019" s="130" t="s">
        <v>25</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Galería de fotos</v>
      </c>
      <c r="C1020" s="114" t="str" cm="1">
        <f t="array" ref="C1020">IFERROR(INDEX('03.Muestra'!$F$8:$F$42,SMALL(IF("Página Web"='03.Muestra'!$D$8:$D$42,ROW('03.Muestra'!$F$8:$F$42)-MIN(ROW('03.Muestra'!$D$8:$D$42))+1,""),ROW()-1006)),"")</f>
        <v>https://www.crtm.es/comunicacion/multimedia/galeria-de-fotos/</v>
      </c>
      <c r="D1020" s="130" t="s">
        <v>25</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Mapa web</v>
      </c>
      <c r="C1021" s="114" t="str" cm="1">
        <f t="array" ref="C1021">IFERROR(INDEX('03.Muestra'!$F$8:$F$42,SMALL(IF("Página Web"='03.Muestra'!$D$8:$D$42,ROW('03.Muestra'!$F$8:$F$42)-MIN(ROW('03.Muestra'!$D$8:$D$42))+1,""),ROW()-1006)),"")</f>
        <v>https://www.crtm.es/mapa-web</v>
      </c>
      <c r="D1021" s="130" t="s">
        <v>25</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Protección de datos</v>
      </c>
      <c r="C1022" s="114" t="str" cm="1">
        <f t="array" ref="C1022">IFERROR(INDEX('03.Muestra'!$F$8:$F$42,SMALL(IF("Página Web"='03.Muestra'!$D$8:$D$42,ROW('03.Muestra'!$F$8:$F$42)-MIN(ROW('03.Muestra'!$D$8:$D$42))+1,""),ROW()-1006)),"")</f>
        <v>https://www.crtm.es/proteccion-de-datos</v>
      </c>
      <c r="D1022" s="130" t="s">
        <v>25</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Política de cookies</v>
      </c>
      <c r="C1023" s="114" t="str" cm="1">
        <f t="array" ref="C1023">IFERROR(INDEX('03.Muestra'!$F$8:$F$42,SMALL(IF("Página Web"='03.Muestra'!$D$8:$D$42,ROW('03.Muestra'!$F$8:$F$42)-MIN(ROW('03.Muestra'!$D$8:$D$42))+1,""),ROW()-1006)),"")</f>
        <v>https://www.crtm.es/politica-de-cookies</v>
      </c>
      <c r="D1023" s="130" t="s">
        <v>25</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cm="1">
        <f t="array" ref="A1024">IFERROR(INDEX('03.Muestra'!$B$8:$B$42,SMALL(IF("Página Web"='03.Muestra'!$D$8:$D$42,ROW('03.Muestra'!$B$8:$B$42)-MIN(ROW('03.Muestra'!$D$8:$D$42))+1,""),ROW()-1006)),"")</f>
        <v>18</v>
      </c>
      <c r="B1024" s="114" t="str" cm="1">
        <f t="array" ref="B1024">IFERROR(INDEX('03.Muestra'!$C$8:$C$42,SMALL(IF("Página Web"='03.Muestra'!$D$8:$D$42,ROW('03.Muestra'!$C$8:$C$42)-MIN(ROW('03.Muestra'!$D$8:$D$42))+1,""),ROW()-1006)),"")</f>
        <v>Aviso Legal</v>
      </c>
      <c r="C1024" s="114" t="str" cm="1">
        <f t="array" ref="C1024">IFERROR(INDEX('03.Muestra'!$F$8:$F$42,SMALL(IF("Página Web"='03.Muestra'!$D$8:$D$42,ROW('03.Muestra'!$F$8:$F$42)-MIN(ROW('03.Muestra'!$D$8:$D$42))+1,""),ROW()-1006)),"")</f>
        <v>https://www.crtm.es/aviso-legal</v>
      </c>
      <c r="D1024" s="130" t="s">
        <v>25</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cm="1">
        <f t="array" ref="A1025">IFERROR(INDEX('03.Muestra'!$B$8:$B$42,SMALL(IF("Página Web"='03.Muestra'!$D$8:$D$42,ROW('03.Muestra'!$B$8:$B$42)-MIN(ROW('03.Muestra'!$D$8:$D$42))+1,""),ROW()-1006)),"")</f>
        <v>19</v>
      </c>
      <c r="B1025" s="114" t="str" cm="1">
        <f t="array" ref="B1025">IFERROR(INDEX('03.Muestra'!$C$8:$C$42,SMALL(IF("Página Web"='03.Muestra'!$D$8:$D$42,ROW('03.Muestra'!$C$8:$C$42)-MIN(ROW('03.Muestra'!$D$8:$D$42))+1,""),ROW()-1006)),"")</f>
        <v>Normativa</v>
      </c>
      <c r="C1025" s="114" t="str" cm="1">
        <f t="array" ref="C1025">IFERROR(INDEX('03.Muestra'!$F$8:$F$42,SMALL(IF("Página Web"='03.Muestra'!$D$8:$D$42,ROW('03.Muestra'!$F$8:$F$42)-MIN(ROW('03.Muestra'!$D$8:$D$42))+1,""),ROW()-1006)),"")</f>
        <v>https://www.crtm.es/normativa</v>
      </c>
      <c r="D1025" s="130" t="s">
        <v>25</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cm="1">
        <f t="array" ref="A1026">IFERROR(INDEX('03.Muestra'!$B$8:$B$42,SMALL(IF("Página Web"='03.Muestra'!$D$8:$D$42,ROW('03.Muestra'!$B$8:$B$42)-MIN(ROW('03.Muestra'!$D$8:$D$42))+1,""),ROW()-1006)),"")</f>
        <v>20</v>
      </c>
      <c r="B1026" s="114" t="str" cm="1">
        <f t="array" ref="B1026">IFERROR(INDEX('03.Muestra'!$C$8:$C$42,SMALL(IF("Página Web"='03.Muestra'!$D$8:$D$42,ROW('03.Muestra'!$C$8:$C$42)-MIN(ROW('03.Muestra'!$D$8:$D$42))+1,""),ROW()-1006)),"")</f>
        <v>Accesibilidad</v>
      </c>
      <c r="C1026" s="114" t="str" cm="1">
        <f t="array" ref="C1026">IFERROR(INDEX('03.Muestra'!$F$8:$F$42,SMALL(IF("Página Web"='03.Muestra'!$D$8:$D$42,ROW('03.Muestra'!$F$8:$F$42)-MIN(ROW('03.Muestra'!$D$8:$D$42))+1,""),ROW()-1006)),"")</f>
        <v>https://www.crtm.es/accesibilidad</v>
      </c>
      <c r="D1026" s="130" t="s">
        <v>25</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cm="1">
        <f t="array" ref="A1027">IFERROR(INDEX('03.Muestra'!$B$8:$B$42,SMALL(IF("Página Web"='03.Muestra'!$D$8:$D$42,ROW('03.Muestra'!$B$8:$B$42)-MIN(ROW('03.Muestra'!$D$8:$D$42))+1,""),ROW()-1006)),"")</f>
        <v>21</v>
      </c>
      <c r="B1027" s="114" t="str" cm="1">
        <f t="array" ref="B1027">IFERROR(INDEX('03.Muestra'!$C$8:$C$42,SMALL(IF("Página Web"='03.Muestra'!$D$8:$D$42,ROW('03.Muestra'!$C$8:$C$42)-MIN(ROW('03.Muestra'!$D$8:$D$42))+1,""),ROW()-1006)),"")</f>
        <v>Modo accesible</v>
      </c>
      <c r="C1027" s="114" t="str" cm="1">
        <f t="array" ref="C1027">IFERROR(INDEX('03.Muestra'!$F$8:$F$42,SMALL(IF("Página Web"='03.Muestra'!$D$8:$D$42,ROW('03.Muestra'!$F$8:$F$42)-MIN(ROW('03.Muestra'!$D$8:$D$42))+1,""),ROW()-1006)),"")</f>
        <v>https://www.crtm.es/</v>
      </c>
      <c r="D1027" s="130" t="s">
        <v>34</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ref="D1028:D1041" si="53">IF(AND(B1028&lt;&gt;"",C1028&lt;&gt;""),"N/T","")</f>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https://www.crtm.es/</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Red de metro</v>
      </c>
      <c r="C1046" s="114" t="str" cm="1">
        <f t="array" ref="C1046">IFERROR(INDEX('03.Muestra'!$F$8:$F$42,SMALL(IF("Página Web"='03.Muestra'!$D$8:$D$42,ROW('03.Muestra'!$F$8:$F$42)-MIN(ROW('03.Muestra'!$D$8:$D$42))+1,""),ROW()-1044)),"")</f>
        <v>https://www.crtm.es/tu-transporte-publico/metro/</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20</v>
      </c>
      <c r="J1046" s="120">
        <f ca="1">COUNTIF($D1045:INDIRECT("$D" &amp;  SUM(ROW()-1,'03.Muestra'!$D$45)-1),J1045)</f>
        <v>1</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Líneas de metro</v>
      </c>
      <c r="C1047" s="114" t="str" cm="1">
        <f t="array" ref="C1047">IFERROR(INDEX('03.Muestra'!$F$8:$F$42,SMALL(IF("Página Web"='03.Muestra'!$D$8:$D$42,ROW('03.Muestra'!$F$8:$F$42)-MIN(ROW('03.Muestra'!$D$8:$D$42))+1,""),ROW()-1044)),"")</f>
        <v>https://www.crtm.es/tu-transporte-publico/metro/lineas/4__1___</v>
      </c>
      <c r="D1047" s="130" t="s">
        <v>27</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Estaciones Aeropuerto T1-T2-T3</v>
      </c>
      <c r="C1048" s="114" t="str" cm="1">
        <f t="array" ref="C1048">IFERROR(INDEX('03.Muestra'!$F$8:$F$42,SMALL(IF("Página Web"='03.Muestra'!$D$8:$D$42,ROW('03.Muestra'!$F$8:$F$42)-MIN(ROW('03.Muestra'!$D$8:$D$42))+1,""),ROW()-1044)),"")</f>
        <v>https://www.crtm.es/tu-transporte-publico/metro/estaciones/4_159</v>
      </c>
      <c r="D1048" s="130" t="s">
        <v>27</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Muévete por Madrid</v>
      </c>
      <c r="C1049" s="114" t="str" cm="1">
        <f t="array" ref="C1049">IFERROR(INDEX('03.Muestra'!$F$8:$F$42,SMALL(IF("Página Web"='03.Muestra'!$D$8:$D$42,ROW('03.Muestra'!$F$8:$F$42)-MIN(ROW('03.Muestra'!$D$8:$D$42))+1,""),ROW()-1044)),"")</f>
        <v>https://www.crtm.es/muevete-por-madrid/</v>
      </c>
      <c r="D1049" s="130" t="s">
        <v>27</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conexiones con aeropuerto y principales estaciones</v>
      </c>
      <c r="C1050" s="114" t="str" cm="1">
        <f t="array" ref="C1050">IFERROR(INDEX('03.Muestra'!$F$8:$F$42,SMALL(IF("Página Web"='03.Muestra'!$D$8:$D$42,ROW('03.Muestra'!$F$8:$F$42)-MIN(ROW('03.Muestra'!$D$8:$D$42))+1,""),ROW()-1044)),"")</f>
        <v xml:space="preserve">https://www.crtm.es/muevete-por-madrid/conexiones-con-aeropuerto-y-principales-estaciones/ </v>
      </c>
      <c r="D1050" s="130" t="s">
        <v>27</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Atención desplazados Ucranianos</v>
      </c>
      <c r="C1051" s="114" t="str" cm="1">
        <f t="array" ref="C1051">IFERROR(INDEX('03.Muestra'!$F$8:$F$42,SMALL(IF("Página Web"='03.Muestra'!$D$8:$D$42,ROW('03.Muestra'!$F$8:$F$42)-MIN(ROW('03.Muestra'!$D$8:$D$42))+1,""),ROW()-1044)),"")</f>
        <v>https://www.crtm.es/atencion-desplazados-ucranianos/#item3</v>
      </c>
      <c r="D1051" s="130" t="s">
        <v>27</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Preguntas frecuentes (Tarjeta transporte público personal)</v>
      </c>
      <c r="C1052" s="114" t="str" cm="1">
        <f t="array" ref="C1052">IFERROR(INDEX('03.Muestra'!$F$8:$F$42,SMALL(IF("Página Web"='03.Muestra'!$D$8:$D$42,ROW('03.Muestra'!$F$8:$F$42)-MIN(ROW('03.Muestra'!$D$8:$D$42))+1,""),ROW()-1044)),"")</f>
        <v xml:space="preserve"> https://www.crtm.es/billetes-y-tarifas/tarjeta-transporte-publico/preguntas-frecuentes/#item23</v>
      </c>
      <c r="D1052" s="130" t="s">
        <v>27</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Billetes y abonos (Metro)</v>
      </c>
      <c r="C1053" s="114" t="str" cm="1">
        <f t="array" ref="C1053">IFERROR(INDEX('03.Muestra'!$F$8:$F$42,SMALL(IF("Página Web"='03.Muestra'!$D$8:$D$42,ROW('03.Muestra'!$F$8:$F$42)-MIN(ROW('03.Muestra'!$D$8:$D$42))+1,""),ROW()-1044)),"")</f>
        <v>https://www.crtm.es/billetes-y-tarifas/billetes-y-abonos/metro/?idPestana=1&amp;lang=#item10</v>
      </c>
      <c r="D1053" s="130" t="s">
        <v>27</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Billetes y tarifas (App)</v>
      </c>
      <c r="C1054" s="114" t="str" cm="1">
        <f t="array" ref="C1054">IFERROR(INDEX('03.Muestra'!$F$8:$F$42,SMALL(IF("Página Web"='03.Muestra'!$D$8:$D$42,ROW('03.Muestra'!$F$8:$F$42)-MIN(ROW('03.Muestra'!$D$8:$D$42))+1,""),ROW()-1044)),"")</f>
        <v>https://www.crtm.es/billetes-y-tarifas/apps/</v>
      </c>
      <c r="D1054" s="130" t="s">
        <v>27</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Atención al cliente</v>
      </c>
      <c r="C1055" s="114" t="str" cm="1">
        <f t="array" ref="C1055">IFERROR(INDEX('03.Muestra'!$F$8:$F$42,SMALL(IF("Página Web"='03.Muestra'!$D$8:$D$42,ROW('03.Muestra'!$F$8:$F$42)-MIN(ROW('03.Muestra'!$D$8:$D$42))+1,""),ROW()-1044)),"")</f>
        <v>https://www.crtm.es/atencion-al-cliente/</v>
      </c>
      <c r="D1055" s="130" t="s">
        <v>27</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Conócenos</v>
      </c>
      <c r="C1056" s="114" t="str" cm="1">
        <f t="array" ref="C1056">IFERROR(INDEX('03.Muestra'!$F$8:$F$42,SMALL(IF("Página Web"='03.Muestra'!$D$8:$D$42,ROW('03.Muestra'!$F$8:$F$42)-MIN(ROW('03.Muestra'!$D$8:$D$42))+1,""),ROW()-1044)),"")</f>
        <v>https://www.crtm.es/conocenos/#CentrodeDocumentacion</v>
      </c>
      <c r="D1056" s="130" t="s">
        <v>27</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Actualidad del servicio</v>
      </c>
      <c r="C1057" s="114" t="str" cm="1">
        <f t="array" ref="C1057">IFERROR(INDEX('03.Muestra'!$F$8:$F$42,SMALL(IF("Página Web"='03.Muestra'!$D$8:$D$42,ROW('03.Muestra'!$F$8:$F$42)-MIN(ROW('03.Muestra'!$D$8:$D$42))+1,""),ROW()-1044)),"")</f>
        <v>https://www.crtm.es/comunicacion/actualidad-del-servicio/?idPestana=1&amp;lang=es</v>
      </c>
      <c r="D1057" s="130" t="s">
        <v>27</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Galería de fotos</v>
      </c>
      <c r="C1058" s="114" t="str" cm="1">
        <f t="array" ref="C1058">IFERROR(INDEX('03.Muestra'!$F$8:$F$42,SMALL(IF("Página Web"='03.Muestra'!$D$8:$D$42,ROW('03.Muestra'!$F$8:$F$42)-MIN(ROW('03.Muestra'!$D$8:$D$42))+1,""),ROW()-1044)),"")</f>
        <v>https://www.crtm.es/comunicacion/multimedia/galeria-de-fotos/</v>
      </c>
      <c r="D1058" s="130" t="s">
        <v>27</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Mapa web</v>
      </c>
      <c r="C1059" s="114" t="str" cm="1">
        <f t="array" ref="C1059">IFERROR(INDEX('03.Muestra'!$F$8:$F$42,SMALL(IF("Página Web"='03.Muestra'!$D$8:$D$42,ROW('03.Muestra'!$F$8:$F$42)-MIN(ROW('03.Muestra'!$D$8:$D$42))+1,""),ROW()-1044)),"")</f>
        <v>https://www.crtm.es/mapa-web</v>
      </c>
      <c r="D1059" s="130" t="s">
        <v>27</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Protección de datos</v>
      </c>
      <c r="C1060" s="114" t="str" cm="1">
        <f t="array" ref="C1060">IFERROR(INDEX('03.Muestra'!$F$8:$F$42,SMALL(IF("Página Web"='03.Muestra'!$D$8:$D$42,ROW('03.Muestra'!$F$8:$F$42)-MIN(ROW('03.Muestra'!$D$8:$D$42))+1,""),ROW()-1044)),"")</f>
        <v>https://www.crtm.es/proteccion-de-datos</v>
      </c>
      <c r="D1060" s="130" t="s">
        <v>27</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Política de cookies</v>
      </c>
      <c r="C1061" s="114" t="str" cm="1">
        <f t="array" ref="C1061">IFERROR(INDEX('03.Muestra'!$F$8:$F$42,SMALL(IF("Página Web"='03.Muestra'!$D$8:$D$42,ROW('03.Muestra'!$F$8:$F$42)-MIN(ROW('03.Muestra'!$D$8:$D$42))+1,""),ROW()-1044)),"")</f>
        <v>https://www.crtm.es/politica-de-cookies</v>
      </c>
      <c r="D1061" s="130" t="s">
        <v>27</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cm="1">
        <f t="array" ref="A1062">IFERROR(INDEX('03.Muestra'!$B$8:$B$42,SMALL(IF("Página Web"='03.Muestra'!$D$8:$D$42,ROW('03.Muestra'!$B$8:$B$42)-MIN(ROW('03.Muestra'!$D$8:$D$42))+1,""),ROW()-1044)),"")</f>
        <v>18</v>
      </c>
      <c r="B1062" s="114" t="str" cm="1">
        <f t="array" ref="B1062">IFERROR(INDEX('03.Muestra'!$C$8:$C$42,SMALL(IF("Página Web"='03.Muestra'!$D$8:$D$42,ROW('03.Muestra'!$C$8:$C$42)-MIN(ROW('03.Muestra'!$D$8:$D$42))+1,""),ROW()-1044)),"")</f>
        <v>Aviso Legal</v>
      </c>
      <c r="C1062" s="114" t="str" cm="1">
        <f t="array" ref="C1062">IFERROR(INDEX('03.Muestra'!$F$8:$F$42,SMALL(IF("Página Web"='03.Muestra'!$D$8:$D$42,ROW('03.Muestra'!$F$8:$F$42)-MIN(ROW('03.Muestra'!$D$8:$D$42))+1,""),ROW()-1044)),"")</f>
        <v>https://www.crtm.es/aviso-legal</v>
      </c>
      <c r="D1062" s="130" t="s">
        <v>27</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cm="1">
        <f t="array" ref="A1063">IFERROR(INDEX('03.Muestra'!$B$8:$B$42,SMALL(IF("Página Web"='03.Muestra'!$D$8:$D$42,ROW('03.Muestra'!$B$8:$B$42)-MIN(ROW('03.Muestra'!$D$8:$D$42))+1,""),ROW()-1044)),"")</f>
        <v>19</v>
      </c>
      <c r="B1063" s="114" t="str" cm="1">
        <f t="array" ref="B1063">IFERROR(INDEX('03.Muestra'!$C$8:$C$42,SMALL(IF("Página Web"='03.Muestra'!$D$8:$D$42,ROW('03.Muestra'!$C$8:$C$42)-MIN(ROW('03.Muestra'!$D$8:$D$42))+1,""),ROW()-1044)),"")</f>
        <v>Normativa</v>
      </c>
      <c r="C1063" s="114" t="str" cm="1">
        <f t="array" ref="C1063">IFERROR(INDEX('03.Muestra'!$F$8:$F$42,SMALL(IF("Página Web"='03.Muestra'!$D$8:$D$42,ROW('03.Muestra'!$F$8:$F$42)-MIN(ROW('03.Muestra'!$D$8:$D$42))+1,""),ROW()-1044)),"")</f>
        <v>https://www.crtm.es/normativa</v>
      </c>
      <c r="D1063" s="130" t="s">
        <v>27</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cm="1">
        <f t="array" ref="A1064">IFERROR(INDEX('03.Muestra'!$B$8:$B$42,SMALL(IF("Página Web"='03.Muestra'!$D$8:$D$42,ROW('03.Muestra'!$B$8:$B$42)-MIN(ROW('03.Muestra'!$D$8:$D$42))+1,""),ROW()-1044)),"")</f>
        <v>20</v>
      </c>
      <c r="B1064" s="114" t="str" cm="1">
        <f t="array" ref="B1064">IFERROR(INDEX('03.Muestra'!$C$8:$C$42,SMALL(IF("Página Web"='03.Muestra'!$D$8:$D$42,ROW('03.Muestra'!$C$8:$C$42)-MIN(ROW('03.Muestra'!$D$8:$D$42))+1,""),ROW()-1044)),"")</f>
        <v>Accesibilidad</v>
      </c>
      <c r="C1064" s="114" t="str" cm="1">
        <f t="array" ref="C1064">IFERROR(INDEX('03.Muestra'!$F$8:$F$42,SMALL(IF("Página Web"='03.Muestra'!$D$8:$D$42,ROW('03.Muestra'!$F$8:$F$42)-MIN(ROW('03.Muestra'!$D$8:$D$42))+1,""),ROW()-1044)),"")</f>
        <v>https://www.crtm.es/accesibilidad</v>
      </c>
      <c r="D1064" s="130" t="s">
        <v>27</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cm="1">
        <f t="array" ref="A1065">IFERROR(INDEX('03.Muestra'!$B$8:$B$42,SMALL(IF("Página Web"='03.Muestra'!$D$8:$D$42,ROW('03.Muestra'!$B$8:$B$42)-MIN(ROW('03.Muestra'!$D$8:$D$42))+1,""),ROW()-1044)),"")</f>
        <v>21</v>
      </c>
      <c r="B1065" s="114" t="str" cm="1">
        <f t="array" ref="B1065">IFERROR(INDEX('03.Muestra'!$C$8:$C$42,SMALL(IF("Página Web"='03.Muestra'!$D$8:$D$42,ROW('03.Muestra'!$C$8:$C$42)-MIN(ROW('03.Muestra'!$D$8:$D$42))+1,""),ROW()-1044)),"")</f>
        <v>Modo accesible</v>
      </c>
      <c r="C1065" s="114" t="str" cm="1">
        <f t="array" ref="C1065">IFERROR(INDEX('03.Muestra'!$F$8:$F$42,SMALL(IF("Página Web"='03.Muestra'!$D$8:$D$42,ROW('03.Muestra'!$F$8:$F$42)-MIN(ROW('03.Muestra'!$D$8:$D$42))+1,""),ROW()-1044)),"")</f>
        <v>https://www.crtm.es/</v>
      </c>
      <c r="D1065" s="130" t="s">
        <v>25</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ref="D1066:D1079" si="55">IF(AND(B1066&lt;&gt;"",C1066&lt;&gt;""),"N/T","")</f>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https://www.crtm.es/</v>
      </c>
      <c r="D1083" s="130" t="s">
        <v>27</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Red de metro</v>
      </c>
      <c r="C1084" s="114" t="str" cm="1">
        <f t="array" ref="C1084">IFERROR(INDEX('03.Muestra'!$F$8:$F$42,SMALL(IF("Página Web"='03.Muestra'!$D$8:$D$42,ROW('03.Muestra'!$F$8:$F$42)-MIN(ROW('03.Muestra'!$D$8:$D$42))+1,""),ROW()-1082)),"")</f>
        <v>https://www.crtm.es/tu-transporte-publico/metro/</v>
      </c>
      <c r="D1084" s="130" t="s">
        <v>27</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20</v>
      </c>
      <c r="J1084" s="120">
        <f ca="1">COUNTIF($D1083:INDIRECT("$D" &amp;  SUM(ROW()-1,'03.Muestra'!$D$45)-1),J1083)</f>
        <v>1</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Líneas de metro</v>
      </c>
      <c r="C1085" s="114" t="str" cm="1">
        <f t="array" ref="C1085">IFERROR(INDEX('03.Muestra'!$F$8:$F$42,SMALL(IF("Página Web"='03.Muestra'!$D$8:$D$42,ROW('03.Muestra'!$F$8:$F$42)-MIN(ROW('03.Muestra'!$D$8:$D$42))+1,""),ROW()-1082)),"")</f>
        <v>https://www.crtm.es/tu-transporte-publico/metro/lineas/4__1___</v>
      </c>
      <c r="D1085" s="130" t="s">
        <v>27</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Estaciones Aeropuerto T1-T2-T3</v>
      </c>
      <c r="C1086" s="114" t="str" cm="1">
        <f t="array" ref="C1086">IFERROR(INDEX('03.Muestra'!$F$8:$F$42,SMALL(IF("Página Web"='03.Muestra'!$D$8:$D$42,ROW('03.Muestra'!$F$8:$F$42)-MIN(ROW('03.Muestra'!$D$8:$D$42))+1,""),ROW()-1082)),"")</f>
        <v>https://www.crtm.es/tu-transporte-publico/metro/estaciones/4_159</v>
      </c>
      <c r="D1086" s="130" t="s">
        <v>27</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Muévete por Madrid</v>
      </c>
      <c r="C1087" s="114" t="str" cm="1">
        <f t="array" ref="C1087">IFERROR(INDEX('03.Muestra'!$F$8:$F$42,SMALL(IF("Página Web"='03.Muestra'!$D$8:$D$42,ROW('03.Muestra'!$F$8:$F$42)-MIN(ROW('03.Muestra'!$D$8:$D$42))+1,""),ROW()-1082)),"")</f>
        <v>https://www.crtm.es/muevete-por-madrid/</v>
      </c>
      <c r="D1087" s="130" t="s">
        <v>27</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conexiones con aeropuerto y principales estaciones</v>
      </c>
      <c r="C1088" s="114" t="str" cm="1">
        <f t="array" ref="C1088">IFERROR(INDEX('03.Muestra'!$F$8:$F$42,SMALL(IF("Página Web"='03.Muestra'!$D$8:$D$42,ROW('03.Muestra'!$F$8:$F$42)-MIN(ROW('03.Muestra'!$D$8:$D$42))+1,""),ROW()-1082)),"")</f>
        <v xml:space="preserve">https://www.crtm.es/muevete-por-madrid/conexiones-con-aeropuerto-y-principales-estaciones/ </v>
      </c>
      <c r="D1088" s="130" t="s">
        <v>27</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Atención desplazados Ucranianos</v>
      </c>
      <c r="C1089" s="114" t="str" cm="1">
        <f t="array" ref="C1089">IFERROR(INDEX('03.Muestra'!$F$8:$F$42,SMALL(IF("Página Web"='03.Muestra'!$D$8:$D$42,ROW('03.Muestra'!$F$8:$F$42)-MIN(ROW('03.Muestra'!$D$8:$D$42))+1,""),ROW()-1082)),"")</f>
        <v>https://www.crtm.es/atencion-desplazados-ucranianos/#item3</v>
      </c>
      <c r="D1089" s="130" t="s">
        <v>27</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Preguntas frecuentes (Tarjeta transporte público personal)</v>
      </c>
      <c r="C1090" s="114" t="str" cm="1">
        <f t="array" ref="C1090">IFERROR(INDEX('03.Muestra'!$F$8:$F$42,SMALL(IF("Página Web"='03.Muestra'!$D$8:$D$42,ROW('03.Muestra'!$F$8:$F$42)-MIN(ROW('03.Muestra'!$D$8:$D$42))+1,""),ROW()-1082)),"")</f>
        <v xml:space="preserve"> https://www.crtm.es/billetes-y-tarifas/tarjeta-transporte-publico/preguntas-frecuentes/#item23</v>
      </c>
      <c r="D1090" s="130" t="s">
        <v>27</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Billetes y abonos (Metro)</v>
      </c>
      <c r="C1091" s="114" t="str" cm="1">
        <f t="array" ref="C1091">IFERROR(INDEX('03.Muestra'!$F$8:$F$42,SMALL(IF("Página Web"='03.Muestra'!$D$8:$D$42,ROW('03.Muestra'!$F$8:$F$42)-MIN(ROW('03.Muestra'!$D$8:$D$42))+1,""),ROW()-1082)),"")</f>
        <v>https://www.crtm.es/billetes-y-tarifas/billetes-y-abonos/metro/?idPestana=1&amp;lang=#item10</v>
      </c>
      <c r="D1091" s="130" t="s">
        <v>27</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Billetes y tarifas (App)</v>
      </c>
      <c r="C1092" s="114" t="str" cm="1">
        <f t="array" ref="C1092">IFERROR(INDEX('03.Muestra'!$F$8:$F$42,SMALL(IF("Página Web"='03.Muestra'!$D$8:$D$42,ROW('03.Muestra'!$F$8:$F$42)-MIN(ROW('03.Muestra'!$D$8:$D$42))+1,""),ROW()-1082)),"")</f>
        <v>https://www.crtm.es/billetes-y-tarifas/apps/</v>
      </c>
      <c r="D1092" s="130" t="s">
        <v>27</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Atención al cliente</v>
      </c>
      <c r="C1093" s="114" t="str" cm="1">
        <f t="array" ref="C1093">IFERROR(INDEX('03.Muestra'!$F$8:$F$42,SMALL(IF("Página Web"='03.Muestra'!$D$8:$D$42,ROW('03.Muestra'!$F$8:$F$42)-MIN(ROW('03.Muestra'!$D$8:$D$42))+1,""),ROW()-1082)),"")</f>
        <v>https://www.crtm.es/atencion-al-cliente/</v>
      </c>
      <c r="D1093" s="130" t="s">
        <v>27</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Conócenos</v>
      </c>
      <c r="C1094" s="114" t="str" cm="1">
        <f t="array" ref="C1094">IFERROR(INDEX('03.Muestra'!$F$8:$F$42,SMALL(IF("Página Web"='03.Muestra'!$D$8:$D$42,ROW('03.Muestra'!$F$8:$F$42)-MIN(ROW('03.Muestra'!$D$8:$D$42))+1,""),ROW()-1082)),"")</f>
        <v>https://www.crtm.es/conocenos/#CentrodeDocumentacion</v>
      </c>
      <c r="D1094" s="130" t="s">
        <v>27</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Actualidad del servicio</v>
      </c>
      <c r="C1095" s="114" t="str" cm="1">
        <f t="array" ref="C1095">IFERROR(INDEX('03.Muestra'!$F$8:$F$42,SMALL(IF("Página Web"='03.Muestra'!$D$8:$D$42,ROW('03.Muestra'!$F$8:$F$42)-MIN(ROW('03.Muestra'!$D$8:$D$42))+1,""),ROW()-1082)),"")</f>
        <v>https://www.crtm.es/comunicacion/actualidad-del-servicio/?idPestana=1&amp;lang=es</v>
      </c>
      <c r="D1095" s="130" t="s">
        <v>27</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Galería de fotos</v>
      </c>
      <c r="C1096" s="114" t="str" cm="1">
        <f t="array" ref="C1096">IFERROR(INDEX('03.Muestra'!$F$8:$F$42,SMALL(IF("Página Web"='03.Muestra'!$D$8:$D$42,ROW('03.Muestra'!$F$8:$F$42)-MIN(ROW('03.Muestra'!$D$8:$D$42))+1,""),ROW()-1082)),"")</f>
        <v>https://www.crtm.es/comunicacion/multimedia/galeria-de-fotos/</v>
      </c>
      <c r="D1096" s="130" t="s">
        <v>27</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Mapa web</v>
      </c>
      <c r="C1097" s="114" t="str" cm="1">
        <f t="array" ref="C1097">IFERROR(INDEX('03.Muestra'!$F$8:$F$42,SMALL(IF("Página Web"='03.Muestra'!$D$8:$D$42,ROW('03.Muestra'!$F$8:$F$42)-MIN(ROW('03.Muestra'!$D$8:$D$42))+1,""),ROW()-1082)),"")</f>
        <v>https://www.crtm.es/mapa-web</v>
      </c>
      <c r="D1097" s="130" t="s">
        <v>27</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Protección de datos</v>
      </c>
      <c r="C1098" s="114" t="str" cm="1">
        <f t="array" ref="C1098">IFERROR(INDEX('03.Muestra'!$F$8:$F$42,SMALL(IF("Página Web"='03.Muestra'!$D$8:$D$42,ROW('03.Muestra'!$F$8:$F$42)-MIN(ROW('03.Muestra'!$D$8:$D$42))+1,""),ROW()-1082)),"")</f>
        <v>https://www.crtm.es/proteccion-de-datos</v>
      </c>
      <c r="D1098" s="130" t="s">
        <v>27</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Política de cookies</v>
      </c>
      <c r="C1099" s="114" t="str" cm="1">
        <f t="array" ref="C1099">IFERROR(INDEX('03.Muestra'!$F$8:$F$42,SMALL(IF("Página Web"='03.Muestra'!$D$8:$D$42,ROW('03.Muestra'!$F$8:$F$42)-MIN(ROW('03.Muestra'!$D$8:$D$42))+1,""),ROW()-1082)),"")</f>
        <v>https://www.crtm.es/politica-de-cookies</v>
      </c>
      <c r="D1099" s="130" t="s">
        <v>27</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cm="1">
        <f t="array" ref="A1100">IFERROR(INDEX('03.Muestra'!$B$8:$B$42,SMALL(IF("Página Web"='03.Muestra'!$D$8:$D$42,ROW('03.Muestra'!$B$8:$B$42)-MIN(ROW('03.Muestra'!$D$8:$D$42))+1,""),ROW()-1082)),"")</f>
        <v>18</v>
      </c>
      <c r="B1100" s="114" t="str" cm="1">
        <f t="array" ref="B1100">IFERROR(INDEX('03.Muestra'!$C$8:$C$42,SMALL(IF("Página Web"='03.Muestra'!$D$8:$D$42,ROW('03.Muestra'!$C$8:$C$42)-MIN(ROW('03.Muestra'!$D$8:$D$42))+1,""),ROW()-1082)),"")</f>
        <v>Aviso Legal</v>
      </c>
      <c r="C1100" s="114" t="str" cm="1">
        <f t="array" ref="C1100">IFERROR(INDEX('03.Muestra'!$F$8:$F$42,SMALL(IF("Página Web"='03.Muestra'!$D$8:$D$42,ROW('03.Muestra'!$F$8:$F$42)-MIN(ROW('03.Muestra'!$D$8:$D$42))+1,""),ROW()-1082)),"")</f>
        <v>https://www.crtm.es/aviso-legal</v>
      </c>
      <c r="D1100" s="130" t="s">
        <v>27</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cm="1">
        <f t="array" ref="A1101">IFERROR(INDEX('03.Muestra'!$B$8:$B$42,SMALL(IF("Página Web"='03.Muestra'!$D$8:$D$42,ROW('03.Muestra'!$B$8:$B$42)-MIN(ROW('03.Muestra'!$D$8:$D$42))+1,""),ROW()-1082)),"")</f>
        <v>19</v>
      </c>
      <c r="B1101" s="114" t="str" cm="1">
        <f t="array" ref="B1101">IFERROR(INDEX('03.Muestra'!$C$8:$C$42,SMALL(IF("Página Web"='03.Muestra'!$D$8:$D$42,ROW('03.Muestra'!$C$8:$C$42)-MIN(ROW('03.Muestra'!$D$8:$D$42))+1,""),ROW()-1082)),"")</f>
        <v>Normativa</v>
      </c>
      <c r="C1101" s="114" t="str" cm="1">
        <f t="array" ref="C1101">IFERROR(INDEX('03.Muestra'!$F$8:$F$42,SMALL(IF("Página Web"='03.Muestra'!$D$8:$D$42,ROW('03.Muestra'!$F$8:$F$42)-MIN(ROW('03.Muestra'!$D$8:$D$42))+1,""),ROW()-1082)),"")</f>
        <v>https://www.crtm.es/normativa</v>
      </c>
      <c r="D1101" s="130" t="s">
        <v>27</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cm="1">
        <f t="array" ref="A1102">IFERROR(INDEX('03.Muestra'!$B$8:$B$42,SMALL(IF("Página Web"='03.Muestra'!$D$8:$D$42,ROW('03.Muestra'!$B$8:$B$42)-MIN(ROW('03.Muestra'!$D$8:$D$42))+1,""),ROW()-1082)),"")</f>
        <v>20</v>
      </c>
      <c r="B1102" s="114" t="str" cm="1">
        <f t="array" ref="B1102">IFERROR(INDEX('03.Muestra'!$C$8:$C$42,SMALL(IF("Página Web"='03.Muestra'!$D$8:$D$42,ROW('03.Muestra'!$C$8:$C$42)-MIN(ROW('03.Muestra'!$D$8:$D$42))+1,""),ROW()-1082)),"")</f>
        <v>Accesibilidad</v>
      </c>
      <c r="C1102" s="114" t="str" cm="1">
        <f t="array" ref="C1102">IFERROR(INDEX('03.Muestra'!$F$8:$F$42,SMALL(IF("Página Web"='03.Muestra'!$D$8:$D$42,ROW('03.Muestra'!$F$8:$F$42)-MIN(ROW('03.Muestra'!$D$8:$D$42))+1,""),ROW()-1082)),"")</f>
        <v>https://www.crtm.es/accesibilidad</v>
      </c>
      <c r="D1102" s="246" t="s">
        <v>27</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cm="1">
        <f t="array" ref="A1103">IFERROR(INDEX('03.Muestra'!$B$8:$B$42,SMALL(IF("Página Web"='03.Muestra'!$D$8:$D$42,ROW('03.Muestra'!$B$8:$B$42)-MIN(ROW('03.Muestra'!$D$8:$D$42))+1,""),ROW()-1082)),"")</f>
        <v>21</v>
      </c>
      <c r="B1103" s="114" t="str" cm="1">
        <f t="array" ref="B1103">IFERROR(INDEX('03.Muestra'!$C$8:$C$42,SMALL(IF("Página Web"='03.Muestra'!$D$8:$D$42,ROW('03.Muestra'!$C$8:$C$42)-MIN(ROW('03.Muestra'!$D$8:$D$42))+1,""),ROW()-1082)),"")</f>
        <v>Modo accesible</v>
      </c>
      <c r="C1103" s="114" t="str" cm="1">
        <f t="array" ref="C1103">IFERROR(INDEX('03.Muestra'!$F$8:$F$42,SMALL(IF("Página Web"='03.Muestra'!$D$8:$D$42,ROW('03.Muestra'!$F$8:$F$42)-MIN(ROW('03.Muestra'!$D$8:$D$42))+1,""),ROW()-1082)),"")</f>
        <v>https://www.crtm.es/</v>
      </c>
      <c r="D1103" s="130" t="s">
        <v>25</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ref="D1104:D1117" si="57">IF(AND(B1104&lt;&gt;"",C1104&lt;&gt;""),"N/T","")</f>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https://www.crtm.es/</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Red de metro</v>
      </c>
      <c r="C1122" s="114" t="str" cm="1">
        <f t="array" ref="C1122">IFERROR(INDEX('03.Muestra'!$F$8:$F$42,SMALL(IF("Página Web"='03.Muestra'!$D$8:$D$42,ROW('03.Muestra'!$F$8:$F$42)-MIN(ROW('03.Muestra'!$D$8:$D$42))+1,""),ROW()-1120)),"")</f>
        <v>https://www.crtm.es/tu-transporte-publico/metro/</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1</v>
      </c>
      <c r="I1122" s="120">
        <f ca="1">COUNTIF($D1121:INDIRECT("$D" &amp;  SUM(ROW()-1,'03.Muestra'!$D$45)-1),I1121)</f>
        <v>0</v>
      </c>
      <c r="J1122" s="120">
        <f ca="1">COUNTIF($D1121:INDIRECT("$D" &amp;  SUM(ROW()-1,'03.Muestra'!$D$45)-1),J1121)</f>
        <v>20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Líneas de metro</v>
      </c>
      <c r="C1123" s="114" t="str" cm="1">
        <f t="array" ref="C1123">IFERROR(INDEX('03.Muestra'!$F$8:$F$42,SMALL(IF("Página Web"='03.Muestra'!$D$8:$D$42,ROW('03.Muestra'!$F$8:$F$42)-MIN(ROW('03.Muestra'!$D$8:$D$42))+1,""),ROW()-1120)),"")</f>
        <v>https://www.crtm.es/tu-transporte-publico/metro/lineas/4__1___</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Estaciones Aeropuerto T1-T2-T3</v>
      </c>
      <c r="C1124" s="114" t="str" cm="1">
        <f t="array" ref="C1124">IFERROR(INDEX('03.Muestra'!$F$8:$F$42,SMALL(IF("Página Web"='03.Muestra'!$D$8:$D$42,ROW('03.Muestra'!$F$8:$F$42)-MIN(ROW('03.Muestra'!$D$8:$D$42))+1,""),ROW()-1120)),"")</f>
        <v>https://www.crtm.es/tu-transporte-publico/metro/estaciones/4_159</v>
      </c>
      <c r="D1124" s="130" t="s">
        <v>25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Muévete por Madrid</v>
      </c>
      <c r="C1125" s="114" t="str" cm="1">
        <f t="array" ref="C1125">IFERROR(INDEX('03.Muestra'!$F$8:$F$42,SMALL(IF("Página Web"='03.Muestra'!$D$8:$D$42,ROW('03.Muestra'!$F$8:$F$42)-MIN(ROW('03.Muestra'!$D$8:$D$42))+1,""),ROW()-1120)),"")</f>
        <v>https://www.crtm.es/muevete-por-madrid/</v>
      </c>
      <c r="D1125" s="130" t="s">
        <v>25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conexiones con aeropuerto y principales estaciones</v>
      </c>
      <c r="C1126" s="114" t="str" cm="1">
        <f t="array" ref="C1126">IFERROR(INDEX('03.Muestra'!$F$8:$F$42,SMALL(IF("Página Web"='03.Muestra'!$D$8:$D$42,ROW('03.Muestra'!$F$8:$F$42)-MIN(ROW('03.Muestra'!$D$8:$D$42))+1,""),ROW()-1120)),"")</f>
        <v xml:space="preserve">https://www.crtm.es/muevete-por-madrid/conexiones-con-aeropuerto-y-principales-estaciones/ </v>
      </c>
      <c r="D1126" s="130" t="s">
        <v>25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Atención desplazados Ucranianos</v>
      </c>
      <c r="C1127" s="114" t="str" cm="1">
        <f t="array" ref="C1127">IFERROR(INDEX('03.Muestra'!$F$8:$F$42,SMALL(IF("Página Web"='03.Muestra'!$D$8:$D$42,ROW('03.Muestra'!$F$8:$F$42)-MIN(ROW('03.Muestra'!$D$8:$D$42))+1,""),ROW()-1120)),"")</f>
        <v>https://www.crtm.es/atencion-desplazados-ucranianos/#item3</v>
      </c>
      <c r="D1127" s="130" t="s">
        <v>25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Preguntas frecuentes (Tarjeta transporte público personal)</v>
      </c>
      <c r="C1128" s="114" t="str" cm="1">
        <f t="array" ref="C1128">IFERROR(INDEX('03.Muestra'!$F$8:$F$42,SMALL(IF("Página Web"='03.Muestra'!$D$8:$D$42,ROW('03.Muestra'!$F$8:$F$42)-MIN(ROW('03.Muestra'!$D$8:$D$42))+1,""),ROW()-1120)),"")</f>
        <v xml:space="preserve"> https://www.crtm.es/billetes-y-tarifas/tarjeta-transporte-publico/preguntas-frecuentes/#item23</v>
      </c>
      <c r="D1128" s="130" t="s">
        <v>25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Billetes y abonos (Metro)</v>
      </c>
      <c r="C1129" s="114" t="str" cm="1">
        <f t="array" ref="C1129">IFERROR(INDEX('03.Muestra'!$F$8:$F$42,SMALL(IF("Página Web"='03.Muestra'!$D$8:$D$42,ROW('03.Muestra'!$F$8:$F$42)-MIN(ROW('03.Muestra'!$D$8:$D$42))+1,""),ROW()-1120)),"")</f>
        <v>https://www.crtm.es/billetes-y-tarifas/billetes-y-abonos/metro/?idPestana=1&amp;lang=#item10</v>
      </c>
      <c r="D1129" s="130" t="s">
        <v>25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Billetes y tarifas (App)</v>
      </c>
      <c r="C1130" s="114" t="str" cm="1">
        <f t="array" ref="C1130">IFERROR(INDEX('03.Muestra'!$F$8:$F$42,SMALL(IF("Página Web"='03.Muestra'!$D$8:$D$42,ROW('03.Muestra'!$F$8:$F$42)-MIN(ROW('03.Muestra'!$D$8:$D$42))+1,""),ROW()-1120)),"")</f>
        <v>https://www.crtm.es/billetes-y-tarifas/apps/</v>
      </c>
      <c r="D1130" s="130" t="s">
        <v>25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Atención al cliente</v>
      </c>
      <c r="C1131" s="114" t="str" cm="1">
        <f t="array" ref="C1131">IFERROR(INDEX('03.Muestra'!$F$8:$F$42,SMALL(IF("Página Web"='03.Muestra'!$D$8:$D$42,ROW('03.Muestra'!$F$8:$F$42)-MIN(ROW('03.Muestra'!$D$8:$D$42))+1,""),ROW()-1120)),"")</f>
        <v>https://www.crtm.es/atencion-al-cliente/</v>
      </c>
      <c r="D1131" s="130" t="s">
        <v>25</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Conócenos</v>
      </c>
      <c r="C1132" s="114" t="str" cm="1">
        <f t="array" ref="C1132">IFERROR(INDEX('03.Muestra'!$F$8:$F$42,SMALL(IF("Página Web"='03.Muestra'!$D$8:$D$42,ROW('03.Muestra'!$F$8:$F$42)-MIN(ROW('03.Muestra'!$D$8:$D$42))+1,""),ROW()-1120)),"")</f>
        <v>https://www.crtm.es/conocenos/#CentrodeDocumentacion</v>
      </c>
      <c r="D1132" s="130" t="s">
        <v>25</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Actualidad del servicio</v>
      </c>
      <c r="C1133" s="114" t="str" cm="1">
        <f t="array" ref="C1133">IFERROR(INDEX('03.Muestra'!$F$8:$F$42,SMALL(IF("Página Web"='03.Muestra'!$D$8:$D$42,ROW('03.Muestra'!$F$8:$F$42)-MIN(ROW('03.Muestra'!$D$8:$D$42))+1,""),ROW()-1120)),"")</f>
        <v>https://www.crtm.es/comunicacion/actualidad-del-servicio/?idPestana=1&amp;lang=es</v>
      </c>
      <c r="D1133" s="130" t="s">
        <v>25</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Galería de fotos</v>
      </c>
      <c r="C1134" s="114" t="str" cm="1">
        <f t="array" ref="C1134">IFERROR(INDEX('03.Muestra'!$F$8:$F$42,SMALL(IF("Página Web"='03.Muestra'!$D$8:$D$42,ROW('03.Muestra'!$F$8:$F$42)-MIN(ROW('03.Muestra'!$D$8:$D$42))+1,""),ROW()-1120)),"")</f>
        <v>https://www.crtm.es/comunicacion/multimedia/galeria-de-fotos/</v>
      </c>
      <c r="D1134" s="130" t="s">
        <v>25</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Mapa web</v>
      </c>
      <c r="C1135" s="114" t="str" cm="1">
        <f t="array" ref="C1135">IFERROR(INDEX('03.Muestra'!$F$8:$F$42,SMALL(IF("Página Web"='03.Muestra'!$D$8:$D$42,ROW('03.Muestra'!$F$8:$F$42)-MIN(ROW('03.Muestra'!$D$8:$D$42))+1,""),ROW()-1120)),"")</f>
        <v>https://www.crtm.es/mapa-web</v>
      </c>
      <c r="D1135" s="130" t="s">
        <v>25</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Protección de datos</v>
      </c>
      <c r="C1136" s="114" t="str" cm="1">
        <f t="array" ref="C1136">IFERROR(INDEX('03.Muestra'!$F$8:$F$42,SMALL(IF("Página Web"='03.Muestra'!$D$8:$D$42,ROW('03.Muestra'!$F$8:$F$42)-MIN(ROW('03.Muestra'!$D$8:$D$42))+1,""),ROW()-1120)),"")</f>
        <v>https://www.crtm.es/proteccion-de-datos</v>
      </c>
      <c r="D1136" s="130" t="s">
        <v>25</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Política de cookies</v>
      </c>
      <c r="C1137" s="114" t="str" cm="1">
        <f t="array" ref="C1137">IFERROR(INDEX('03.Muestra'!$F$8:$F$42,SMALL(IF("Página Web"='03.Muestra'!$D$8:$D$42,ROW('03.Muestra'!$F$8:$F$42)-MIN(ROW('03.Muestra'!$D$8:$D$42))+1,""),ROW()-1120)),"")</f>
        <v>https://www.crtm.es/politica-de-cookies</v>
      </c>
      <c r="D1137" s="130" t="s">
        <v>25</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cm="1">
        <f t="array" ref="A1138">IFERROR(INDEX('03.Muestra'!$B$8:$B$42,SMALL(IF("Página Web"='03.Muestra'!$D$8:$D$42,ROW('03.Muestra'!$B$8:$B$42)-MIN(ROW('03.Muestra'!$D$8:$D$42))+1,""),ROW()-1120)),"")</f>
        <v>18</v>
      </c>
      <c r="B1138" s="114" t="str" cm="1">
        <f t="array" ref="B1138">IFERROR(INDEX('03.Muestra'!$C$8:$C$42,SMALL(IF("Página Web"='03.Muestra'!$D$8:$D$42,ROW('03.Muestra'!$C$8:$C$42)-MIN(ROW('03.Muestra'!$D$8:$D$42))+1,""),ROW()-1120)),"")</f>
        <v>Aviso Legal</v>
      </c>
      <c r="C1138" s="114" t="str" cm="1">
        <f t="array" ref="C1138">IFERROR(INDEX('03.Muestra'!$F$8:$F$42,SMALL(IF("Página Web"='03.Muestra'!$D$8:$D$42,ROW('03.Muestra'!$F$8:$F$42)-MIN(ROW('03.Muestra'!$D$8:$D$42))+1,""),ROW()-1120)),"")</f>
        <v>https://www.crtm.es/aviso-legal</v>
      </c>
      <c r="D1138" s="130" t="s">
        <v>25</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cm="1">
        <f t="array" ref="A1139">IFERROR(INDEX('03.Muestra'!$B$8:$B$42,SMALL(IF("Página Web"='03.Muestra'!$D$8:$D$42,ROW('03.Muestra'!$B$8:$B$42)-MIN(ROW('03.Muestra'!$D$8:$D$42))+1,""),ROW()-1120)),"")</f>
        <v>19</v>
      </c>
      <c r="B1139" s="114" t="str" cm="1">
        <f t="array" ref="B1139">IFERROR(INDEX('03.Muestra'!$C$8:$C$42,SMALL(IF("Página Web"='03.Muestra'!$D$8:$D$42,ROW('03.Muestra'!$C$8:$C$42)-MIN(ROW('03.Muestra'!$D$8:$D$42))+1,""),ROW()-1120)),"")</f>
        <v>Normativa</v>
      </c>
      <c r="C1139" s="114" t="str" cm="1">
        <f t="array" ref="C1139">IFERROR(INDEX('03.Muestra'!$F$8:$F$42,SMALL(IF("Página Web"='03.Muestra'!$D$8:$D$42,ROW('03.Muestra'!$F$8:$F$42)-MIN(ROW('03.Muestra'!$D$8:$D$42))+1,""),ROW()-1120)),"")</f>
        <v>https://www.crtm.es/normativa</v>
      </c>
      <c r="D1139" s="130" t="s">
        <v>25</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cm="1">
        <f t="array" ref="A1140">IFERROR(INDEX('03.Muestra'!$B$8:$B$42,SMALL(IF("Página Web"='03.Muestra'!$D$8:$D$42,ROW('03.Muestra'!$B$8:$B$42)-MIN(ROW('03.Muestra'!$D$8:$D$42))+1,""),ROW()-1120)),"")</f>
        <v>20</v>
      </c>
      <c r="B1140" s="114" t="str" cm="1">
        <f t="array" ref="B1140">IFERROR(INDEX('03.Muestra'!$C$8:$C$42,SMALL(IF("Página Web"='03.Muestra'!$D$8:$D$42,ROW('03.Muestra'!$C$8:$C$42)-MIN(ROW('03.Muestra'!$D$8:$D$42))+1,""),ROW()-1120)),"")</f>
        <v>Accesibilidad</v>
      </c>
      <c r="C1140" s="114" t="str" cm="1">
        <f t="array" ref="C1140">IFERROR(INDEX('03.Muestra'!$F$8:$F$42,SMALL(IF("Página Web"='03.Muestra'!$D$8:$D$42,ROW('03.Muestra'!$F$8:$F$42)-MIN(ROW('03.Muestra'!$D$8:$D$42))+1,""),ROW()-1120)),"")</f>
        <v>https://www.crtm.es/accesibilidad</v>
      </c>
      <c r="D1140" s="130" t="s">
        <v>25</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cm="1">
        <f t="array" ref="A1141">IFERROR(INDEX('03.Muestra'!$B$8:$B$42,SMALL(IF("Página Web"='03.Muestra'!$D$8:$D$42,ROW('03.Muestra'!$B$8:$B$42)-MIN(ROW('03.Muestra'!$D$8:$D$42))+1,""),ROW()-1120)),"")</f>
        <v>21</v>
      </c>
      <c r="B1141" s="114" t="str" cm="1">
        <f t="array" ref="B1141">IFERROR(INDEX('03.Muestra'!$C$8:$C$42,SMALL(IF("Página Web"='03.Muestra'!$D$8:$D$42,ROW('03.Muestra'!$C$8:$C$42)-MIN(ROW('03.Muestra'!$D$8:$D$42))+1,""),ROW()-1120)),"")</f>
        <v>Modo accesible</v>
      </c>
      <c r="C1141" s="114" t="str" cm="1">
        <f t="array" ref="C1141">IFERROR(INDEX('03.Muestra'!$F$8:$F$42,SMALL(IF("Página Web"='03.Muestra'!$D$8:$D$42,ROW('03.Muestra'!$F$8:$F$42)-MIN(ROW('03.Muestra'!$D$8:$D$42))+1,""),ROW()-1120)),"")</f>
        <v>https://www.crtm.es/</v>
      </c>
      <c r="D1141" s="130" t="s">
        <v>34</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ref="D1142:D1155" si="59">IF(AND(B1142&lt;&gt;"",C1142&lt;&gt;""),"N/T","")</f>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https://www.crtm.es/</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Red de metro</v>
      </c>
      <c r="C1160" s="114" t="str" cm="1">
        <f t="array" ref="C1160">IFERROR(INDEX('03.Muestra'!$F$8:$F$42,SMALL(IF("Página Web"='03.Muestra'!$D$8:$D$42,ROW('03.Muestra'!$F$8:$F$42)-MIN(ROW('03.Muestra'!$D$8:$D$42))+1,""),ROW()-1158)),"")</f>
        <v>https://www.crtm.es/tu-transporte-publico/metro/</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1</v>
      </c>
      <c r="J1160" s="120">
        <f ca="1">COUNTIF($D1159:INDIRECT("$D" &amp;  SUM(ROW()-1,'03.Muestra'!$D$45)-1),J1159)</f>
        <v>20</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Líneas de metro</v>
      </c>
      <c r="C1161" s="114" t="str" cm="1">
        <f t="array" ref="C1161">IFERROR(INDEX('03.Muestra'!$F$8:$F$42,SMALL(IF("Página Web"='03.Muestra'!$D$8:$D$42,ROW('03.Muestra'!$F$8:$F$42)-MIN(ROW('03.Muestra'!$D$8:$D$42))+1,""),ROW()-1158)),"")</f>
        <v>https://www.crtm.es/tu-transporte-publico/metro/lineas/4__1___</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Estaciones Aeropuerto T1-T2-T3</v>
      </c>
      <c r="C1162" s="114" t="str" cm="1">
        <f t="array" ref="C1162">IFERROR(INDEX('03.Muestra'!$F$8:$F$42,SMALL(IF("Página Web"='03.Muestra'!$D$8:$D$42,ROW('03.Muestra'!$F$8:$F$42)-MIN(ROW('03.Muestra'!$D$8:$D$42))+1,""),ROW()-1158)),"")</f>
        <v>https://www.crtm.es/tu-transporte-publico/metro/estaciones/4_159</v>
      </c>
      <c r="D1162" s="130" t="s">
        <v>25</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Muévete por Madrid</v>
      </c>
      <c r="C1163" s="114" t="str" cm="1">
        <f t="array" ref="C1163">IFERROR(INDEX('03.Muestra'!$F$8:$F$42,SMALL(IF("Página Web"='03.Muestra'!$D$8:$D$42,ROW('03.Muestra'!$F$8:$F$42)-MIN(ROW('03.Muestra'!$D$8:$D$42))+1,""),ROW()-1158)),"")</f>
        <v>https://www.crtm.es/muevete-por-madrid/</v>
      </c>
      <c r="D1163" s="130" t="s">
        <v>25</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conexiones con aeropuerto y principales estaciones</v>
      </c>
      <c r="C1164" s="114" t="str" cm="1">
        <f t="array" ref="C1164">IFERROR(INDEX('03.Muestra'!$F$8:$F$42,SMALL(IF("Página Web"='03.Muestra'!$D$8:$D$42,ROW('03.Muestra'!$F$8:$F$42)-MIN(ROW('03.Muestra'!$D$8:$D$42))+1,""),ROW()-1158)),"")</f>
        <v xml:space="preserve">https://www.crtm.es/muevete-por-madrid/conexiones-con-aeropuerto-y-principales-estaciones/ </v>
      </c>
      <c r="D1164" s="130" t="s">
        <v>25</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Atención desplazados Ucranianos</v>
      </c>
      <c r="C1165" s="114" t="str" cm="1">
        <f t="array" ref="C1165">IFERROR(INDEX('03.Muestra'!$F$8:$F$42,SMALL(IF("Página Web"='03.Muestra'!$D$8:$D$42,ROW('03.Muestra'!$F$8:$F$42)-MIN(ROW('03.Muestra'!$D$8:$D$42))+1,""),ROW()-1158)),"")</f>
        <v>https://www.crtm.es/atencion-desplazados-ucranianos/#item3</v>
      </c>
      <c r="D1165" s="130" t="s">
        <v>25</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Preguntas frecuentes (Tarjeta transporte público personal)</v>
      </c>
      <c r="C1166" s="114" t="str" cm="1">
        <f t="array" ref="C1166">IFERROR(INDEX('03.Muestra'!$F$8:$F$42,SMALL(IF("Página Web"='03.Muestra'!$D$8:$D$42,ROW('03.Muestra'!$F$8:$F$42)-MIN(ROW('03.Muestra'!$D$8:$D$42))+1,""),ROW()-1158)),"")</f>
        <v xml:space="preserve"> https://www.crtm.es/billetes-y-tarifas/tarjeta-transporte-publico/preguntas-frecuentes/#item23</v>
      </c>
      <c r="D1166" s="130" t="s">
        <v>25</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Billetes y abonos (Metro)</v>
      </c>
      <c r="C1167" s="114" t="str" cm="1">
        <f t="array" ref="C1167">IFERROR(INDEX('03.Muestra'!$F$8:$F$42,SMALL(IF("Página Web"='03.Muestra'!$D$8:$D$42,ROW('03.Muestra'!$F$8:$F$42)-MIN(ROW('03.Muestra'!$D$8:$D$42))+1,""),ROW()-1158)),"")</f>
        <v>https://www.crtm.es/billetes-y-tarifas/billetes-y-abonos/metro/?idPestana=1&amp;lang=#item10</v>
      </c>
      <c r="D1167" s="130" t="s">
        <v>25</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Billetes y tarifas (App)</v>
      </c>
      <c r="C1168" s="114" t="str" cm="1">
        <f t="array" ref="C1168">IFERROR(INDEX('03.Muestra'!$F$8:$F$42,SMALL(IF("Página Web"='03.Muestra'!$D$8:$D$42,ROW('03.Muestra'!$F$8:$F$42)-MIN(ROW('03.Muestra'!$D$8:$D$42))+1,""),ROW()-1158)),"")</f>
        <v>https://www.crtm.es/billetes-y-tarifas/apps/</v>
      </c>
      <c r="D1168" s="130" t="s">
        <v>25</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Atención al cliente</v>
      </c>
      <c r="C1169" s="114" t="str" cm="1">
        <f t="array" ref="C1169">IFERROR(INDEX('03.Muestra'!$F$8:$F$42,SMALL(IF("Página Web"='03.Muestra'!$D$8:$D$42,ROW('03.Muestra'!$F$8:$F$42)-MIN(ROW('03.Muestra'!$D$8:$D$42))+1,""),ROW()-1158)),"")</f>
        <v>https://www.crtm.es/atencion-al-cliente/</v>
      </c>
      <c r="D1169" s="130" t="s">
        <v>25</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Conócenos</v>
      </c>
      <c r="C1170" s="114" t="str" cm="1">
        <f t="array" ref="C1170">IFERROR(INDEX('03.Muestra'!$F$8:$F$42,SMALL(IF("Página Web"='03.Muestra'!$D$8:$D$42,ROW('03.Muestra'!$F$8:$F$42)-MIN(ROW('03.Muestra'!$D$8:$D$42))+1,""),ROW()-1158)),"")</f>
        <v>https://www.crtm.es/conocenos/#CentrodeDocumentacion</v>
      </c>
      <c r="D1170" s="130" t="s">
        <v>25</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Actualidad del servicio</v>
      </c>
      <c r="C1171" s="114" t="str" cm="1">
        <f t="array" ref="C1171">IFERROR(INDEX('03.Muestra'!$F$8:$F$42,SMALL(IF("Página Web"='03.Muestra'!$D$8:$D$42,ROW('03.Muestra'!$F$8:$F$42)-MIN(ROW('03.Muestra'!$D$8:$D$42))+1,""),ROW()-1158)),"")</f>
        <v>https://www.crtm.es/comunicacion/actualidad-del-servicio/?idPestana=1&amp;lang=es</v>
      </c>
      <c r="D1171" s="130" t="s">
        <v>25</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Galería de fotos</v>
      </c>
      <c r="C1172" s="114" t="str" cm="1">
        <f t="array" ref="C1172">IFERROR(INDEX('03.Muestra'!$F$8:$F$42,SMALL(IF("Página Web"='03.Muestra'!$D$8:$D$42,ROW('03.Muestra'!$F$8:$F$42)-MIN(ROW('03.Muestra'!$D$8:$D$42))+1,""),ROW()-1158)),"")</f>
        <v>https://www.crtm.es/comunicacion/multimedia/galeria-de-fotos/</v>
      </c>
      <c r="D1172" s="130" t="s">
        <v>25</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Mapa web</v>
      </c>
      <c r="C1173" s="114" t="str" cm="1">
        <f t="array" ref="C1173">IFERROR(INDEX('03.Muestra'!$F$8:$F$42,SMALL(IF("Página Web"='03.Muestra'!$D$8:$D$42,ROW('03.Muestra'!$F$8:$F$42)-MIN(ROW('03.Muestra'!$D$8:$D$42))+1,""),ROW()-1158)),"")</f>
        <v>https://www.crtm.es/mapa-web</v>
      </c>
      <c r="D1173" s="130" t="s">
        <v>25</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Protección de datos</v>
      </c>
      <c r="C1174" s="114" t="str" cm="1">
        <f t="array" ref="C1174">IFERROR(INDEX('03.Muestra'!$F$8:$F$42,SMALL(IF("Página Web"='03.Muestra'!$D$8:$D$42,ROW('03.Muestra'!$F$8:$F$42)-MIN(ROW('03.Muestra'!$D$8:$D$42))+1,""),ROW()-1158)),"")</f>
        <v>https://www.crtm.es/proteccion-de-datos</v>
      </c>
      <c r="D1174" s="130" t="s">
        <v>25</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Política de cookies</v>
      </c>
      <c r="C1175" s="114" t="str" cm="1">
        <f t="array" ref="C1175">IFERROR(INDEX('03.Muestra'!$F$8:$F$42,SMALL(IF("Página Web"='03.Muestra'!$D$8:$D$42,ROW('03.Muestra'!$F$8:$F$42)-MIN(ROW('03.Muestra'!$D$8:$D$42))+1,""),ROW()-1158)),"")</f>
        <v>https://www.crtm.es/politica-de-cookies</v>
      </c>
      <c r="D1175" s="130" t="s">
        <v>25</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cm="1">
        <f t="array" ref="A1176">IFERROR(INDEX('03.Muestra'!$B$8:$B$42,SMALL(IF("Página Web"='03.Muestra'!$D$8:$D$42,ROW('03.Muestra'!$B$8:$B$42)-MIN(ROW('03.Muestra'!$D$8:$D$42))+1,""),ROW()-1158)),"")</f>
        <v>18</v>
      </c>
      <c r="B1176" s="114" t="str" cm="1">
        <f t="array" ref="B1176">IFERROR(INDEX('03.Muestra'!$C$8:$C$42,SMALL(IF("Página Web"='03.Muestra'!$D$8:$D$42,ROW('03.Muestra'!$C$8:$C$42)-MIN(ROW('03.Muestra'!$D$8:$D$42))+1,""),ROW()-1158)),"")</f>
        <v>Aviso Legal</v>
      </c>
      <c r="C1176" s="114" t="str" cm="1">
        <f t="array" ref="C1176">IFERROR(INDEX('03.Muestra'!$F$8:$F$42,SMALL(IF("Página Web"='03.Muestra'!$D$8:$D$42,ROW('03.Muestra'!$F$8:$F$42)-MIN(ROW('03.Muestra'!$D$8:$D$42))+1,""),ROW()-1158)),"")</f>
        <v>https://www.crtm.es/aviso-legal</v>
      </c>
      <c r="D1176" s="130" t="s">
        <v>25</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cm="1">
        <f t="array" ref="A1177">IFERROR(INDEX('03.Muestra'!$B$8:$B$42,SMALL(IF("Página Web"='03.Muestra'!$D$8:$D$42,ROW('03.Muestra'!$B$8:$B$42)-MIN(ROW('03.Muestra'!$D$8:$D$42))+1,""),ROW()-1158)),"")</f>
        <v>19</v>
      </c>
      <c r="B1177" s="114" t="str" cm="1">
        <f t="array" ref="B1177">IFERROR(INDEX('03.Muestra'!$C$8:$C$42,SMALL(IF("Página Web"='03.Muestra'!$D$8:$D$42,ROW('03.Muestra'!$C$8:$C$42)-MIN(ROW('03.Muestra'!$D$8:$D$42))+1,""),ROW()-1158)),"")</f>
        <v>Normativa</v>
      </c>
      <c r="C1177" s="114" t="str" cm="1">
        <f t="array" ref="C1177">IFERROR(INDEX('03.Muestra'!$F$8:$F$42,SMALL(IF("Página Web"='03.Muestra'!$D$8:$D$42,ROW('03.Muestra'!$F$8:$F$42)-MIN(ROW('03.Muestra'!$D$8:$D$42))+1,""),ROW()-1158)),"")</f>
        <v>https://www.crtm.es/normativa</v>
      </c>
      <c r="D1177" s="130" t="s">
        <v>25</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cm="1">
        <f t="array" ref="A1178">IFERROR(INDEX('03.Muestra'!$B$8:$B$42,SMALL(IF("Página Web"='03.Muestra'!$D$8:$D$42,ROW('03.Muestra'!$B$8:$B$42)-MIN(ROW('03.Muestra'!$D$8:$D$42))+1,""),ROW()-1158)),"")</f>
        <v>20</v>
      </c>
      <c r="B1178" s="114" t="str" cm="1">
        <f t="array" ref="B1178">IFERROR(INDEX('03.Muestra'!$C$8:$C$42,SMALL(IF("Página Web"='03.Muestra'!$D$8:$D$42,ROW('03.Muestra'!$C$8:$C$42)-MIN(ROW('03.Muestra'!$D$8:$D$42))+1,""),ROW()-1158)),"")</f>
        <v>Accesibilidad</v>
      </c>
      <c r="C1178" s="114" t="str" cm="1">
        <f t="array" ref="C1178">IFERROR(INDEX('03.Muestra'!$F$8:$F$42,SMALL(IF("Página Web"='03.Muestra'!$D$8:$D$42,ROW('03.Muestra'!$F$8:$F$42)-MIN(ROW('03.Muestra'!$D$8:$D$42))+1,""),ROW()-1158)),"")</f>
        <v>https://www.crtm.es/accesibilidad</v>
      </c>
      <c r="D1178" s="130" t="s">
        <v>25</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cm="1">
        <f t="array" ref="A1179">IFERROR(INDEX('03.Muestra'!$B$8:$B$42,SMALL(IF("Página Web"='03.Muestra'!$D$8:$D$42,ROW('03.Muestra'!$B$8:$B$42)-MIN(ROW('03.Muestra'!$D$8:$D$42))+1,""),ROW()-1158)),"")</f>
        <v>21</v>
      </c>
      <c r="B1179" s="114" t="str" cm="1">
        <f t="array" ref="B1179">IFERROR(INDEX('03.Muestra'!$C$8:$C$42,SMALL(IF("Página Web"='03.Muestra'!$D$8:$D$42,ROW('03.Muestra'!$C$8:$C$42)-MIN(ROW('03.Muestra'!$D$8:$D$42))+1,""),ROW()-1158)),"")</f>
        <v>Modo accesible</v>
      </c>
      <c r="C1179" s="114" t="str" cm="1">
        <f t="array" ref="C1179">IFERROR(INDEX('03.Muestra'!$F$8:$F$42,SMALL(IF("Página Web"='03.Muestra'!$D$8:$D$42,ROW('03.Muestra'!$F$8:$F$42)-MIN(ROW('03.Muestra'!$D$8:$D$42))+1,""),ROW()-1158)),"")</f>
        <v>https://www.crtm.es/</v>
      </c>
      <c r="D1179" s="130" t="s">
        <v>27</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ref="D1180:D1193" si="61">IF(AND(B1180&lt;&gt;"",C1180&lt;&gt;""),"N/T","")</f>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https://www.crtm.es/</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Red de metro</v>
      </c>
      <c r="C1198" s="114" t="str" cm="1">
        <f t="array" ref="C1198">IFERROR(INDEX('03.Muestra'!$F$8:$F$42,SMALL(IF("Página Web"='03.Muestra'!$D$8:$D$42,ROW('03.Muestra'!$F$8:$F$42)-MIN(ROW('03.Muestra'!$D$8:$D$42))+1,""),ROW()-1196)),"")</f>
        <v>https://www.crtm.es/tu-transporte-publico/metro/</v>
      </c>
      <c r="D1198" s="130" t="s">
        <v>25</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4</v>
      </c>
      <c r="J1198" s="120">
        <f ca="1">COUNTIF($D1197:INDIRECT("$D" &amp;  SUM(ROW()-1,'03.Muestra'!$D$45)-1),J1197)</f>
        <v>17</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Líneas de metro</v>
      </c>
      <c r="C1199" s="114" t="str" cm="1">
        <f t="array" ref="C1199">IFERROR(INDEX('03.Muestra'!$F$8:$F$42,SMALL(IF("Página Web"='03.Muestra'!$D$8:$D$42,ROW('03.Muestra'!$F$8:$F$42)-MIN(ROW('03.Muestra'!$D$8:$D$42))+1,""),ROW()-1196)),"")</f>
        <v>https://www.crtm.es/tu-transporte-publico/metro/lineas/4__1___</v>
      </c>
      <c r="D1199" s="130" t="s">
        <v>25</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Estaciones Aeropuerto T1-T2-T3</v>
      </c>
      <c r="C1200" s="114" t="str" cm="1">
        <f t="array" ref="C1200">IFERROR(INDEX('03.Muestra'!$F$8:$F$42,SMALL(IF("Página Web"='03.Muestra'!$D$8:$D$42,ROW('03.Muestra'!$F$8:$F$42)-MIN(ROW('03.Muestra'!$D$8:$D$42))+1,""),ROW()-1196)),"")</f>
        <v>https://www.crtm.es/tu-transporte-publico/metro/estaciones/4_159</v>
      </c>
      <c r="D1200" s="130" t="s">
        <v>25</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Muévete por Madrid</v>
      </c>
      <c r="C1201" s="114" t="str" cm="1">
        <f t="array" ref="C1201">IFERROR(INDEX('03.Muestra'!$F$8:$F$42,SMALL(IF("Página Web"='03.Muestra'!$D$8:$D$42,ROW('03.Muestra'!$F$8:$F$42)-MIN(ROW('03.Muestra'!$D$8:$D$42))+1,""),ROW()-1196)),"")</f>
        <v>https://www.crtm.es/muevete-por-madrid/</v>
      </c>
      <c r="D1201" s="130" t="s">
        <v>25</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conexiones con aeropuerto y principales estaciones</v>
      </c>
      <c r="C1202" s="114" t="str" cm="1">
        <f t="array" ref="C1202">IFERROR(INDEX('03.Muestra'!$F$8:$F$42,SMALL(IF("Página Web"='03.Muestra'!$D$8:$D$42,ROW('03.Muestra'!$F$8:$F$42)-MIN(ROW('03.Muestra'!$D$8:$D$42))+1,""),ROW()-1196)),"")</f>
        <v xml:space="preserve">https://www.crtm.es/muevete-por-madrid/conexiones-con-aeropuerto-y-principales-estaciones/ </v>
      </c>
      <c r="D1202" s="130" t="s">
        <v>25</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Atención desplazados Ucranianos</v>
      </c>
      <c r="C1203" s="114" t="str" cm="1">
        <f t="array" ref="C1203">IFERROR(INDEX('03.Muestra'!$F$8:$F$42,SMALL(IF("Página Web"='03.Muestra'!$D$8:$D$42,ROW('03.Muestra'!$F$8:$F$42)-MIN(ROW('03.Muestra'!$D$8:$D$42))+1,""),ROW()-1196)),"")</f>
        <v>https://www.crtm.es/atencion-desplazados-ucranianos/#item3</v>
      </c>
      <c r="D1203" s="130" t="s">
        <v>27</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Preguntas frecuentes (Tarjeta transporte público personal)</v>
      </c>
      <c r="C1204" s="114" t="str" cm="1">
        <f t="array" ref="C1204">IFERROR(INDEX('03.Muestra'!$F$8:$F$42,SMALL(IF("Página Web"='03.Muestra'!$D$8:$D$42,ROW('03.Muestra'!$F$8:$F$42)-MIN(ROW('03.Muestra'!$D$8:$D$42))+1,""),ROW()-1196)),"")</f>
        <v xml:space="preserve"> https://www.crtm.es/billetes-y-tarifas/tarjeta-transporte-publico/preguntas-frecuentes/#item23</v>
      </c>
      <c r="D1204" s="130" t="s">
        <v>27</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Billetes y abonos (Metro)</v>
      </c>
      <c r="C1205" s="114" t="str" cm="1">
        <f t="array" ref="C1205">IFERROR(INDEX('03.Muestra'!$F$8:$F$42,SMALL(IF("Página Web"='03.Muestra'!$D$8:$D$42,ROW('03.Muestra'!$F$8:$F$42)-MIN(ROW('03.Muestra'!$D$8:$D$42))+1,""),ROW()-1196)),"")</f>
        <v>https://www.crtm.es/billetes-y-tarifas/billetes-y-abonos/metro/?idPestana=1&amp;lang=#item10</v>
      </c>
      <c r="D1205" s="130" t="s">
        <v>27</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Billetes y tarifas (App)</v>
      </c>
      <c r="C1206" s="114" t="str" cm="1">
        <f t="array" ref="C1206">IFERROR(INDEX('03.Muestra'!$F$8:$F$42,SMALL(IF("Página Web"='03.Muestra'!$D$8:$D$42,ROW('03.Muestra'!$F$8:$F$42)-MIN(ROW('03.Muestra'!$D$8:$D$42))+1,""),ROW()-1196)),"")</f>
        <v>https://www.crtm.es/billetes-y-tarifas/apps/</v>
      </c>
      <c r="D1206" s="130" t="s">
        <v>25</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Atención al cliente</v>
      </c>
      <c r="C1207" s="114" t="str" cm="1">
        <f t="array" ref="C1207">IFERROR(INDEX('03.Muestra'!$F$8:$F$42,SMALL(IF("Página Web"='03.Muestra'!$D$8:$D$42,ROW('03.Muestra'!$F$8:$F$42)-MIN(ROW('03.Muestra'!$D$8:$D$42))+1,""),ROW()-1196)),"")</f>
        <v>https://www.crtm.es/atencion-al-cliente/</v>
      </c>
      <c r="D1207" s="130" t="s">
        <v>25</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Conócenos</v>
      </c>
      <c r="C1208" s="114" t="str" cm="1">
        <f t="array" ref="C1208">IFERROR(INDEX('03.Muestra'!$F$8:$F$42,SMALL(IF("Página Web"='03.Muestra'!$D$8:$D$42,ROW('03.Muestra'!$F$8:$F$42)-MIN(ROW('03.Muestra'!$D$8:$D$42))+1,""),ROW()-1196)),"")</f>
        <v>https://www.crtm.es/conocenos/#CentrodeDocumentacion</v>
      </c>
      <c r="D1208" s="130" t="s">
        <v>25</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Actualidad del servicio</v>
      </c>
      <c r="C1209" s="114" t="str" cm="1">
        <f t="array" ref="C1209">IFERROR(INDEX('03.Muestra'!$F$8:$F$42,SMALL(IF("Página Web"='03.Muestra'!$D$8:$D$42,ROW('03.Muestra'!$F$8:$F$42)-MIN(ROW('03.Muestra'!$D$8:$D$42))+1,""),ROW()-1196)),"")</f>
        <v>https://www.crtm.es/comunicacion/actualidad-del-servicio/?idPestana=1&amp;lang=es</v>
      </c>
      <c r="D1209" s="130" t="s">
        <v>25</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Galería de fotos</v>
      </c>
      <c r="C1210" s="114" t="str" cm="1">
        <f t="array" ref="C1210">IFERROR(INDEX('03.Muestra'!$F$8:$F$42,SMALL(IF("Página Web"='03.Muestra'!$D$8:$D$42,ROW('03.Muestra'!$F$8:$F$42)-MIN(ROW('03.Muestra'!$D$8:$D$42))+1,""),ROW()-1196)),"")</f>
        <v>https://www.crtm.es/comunicacion/multimedia/galeria-de-fotos/</v>
      </c>
      <c r="D1210" s="130" t="s">
        <v>25</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Mapa web</v>
      </c>
      <c r="C1211" s="114" t="str" cm="1">
        <f t="array" ref="C1211">IFERROR(INDEX('03.Muestra'!$F$8:$F$42,SMALL(IF("Página Web"='03.Muestra'!$D$8:$D$42,ROW('03.Muestra'!$F$8:$F$42)-MIN(ROW('03.Muestra'!$D$8:$D$42))+1,""),ROW()-1196)),"")</f>
        <v>https://www.crtm.es/mapa-web</v>
      </c>
      <c r="D1211" s="130" t="s">
        <v>25</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Protección de datos</v>
      </c>
      <c r="C1212" s="114" t="str" cm="1">
        <f t="array" ref="C1212">IFERROR(INDEX('03.Muestra'!$F$8:$F$42,SMALL(IF("Página Web"='03.Muestra'!$D$8:$D$42,ROW('03.Muestra'!$F$8:$F$42)-MIN(ROW('03.Muestra'!$D$8:$D$42))+1,""),ROW()-1196)),"")</f>
        <v>https://www.crtm.es/proteccion-de-datos</v>
      </c>
      <c r="D1212" s="130" t="s">
        <v>25</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Política de cookies</v>
      </c>
      <c r="C1213" s="114" t="str" cm="1">
        <f t="array" ref="C1213">IFERROR(INDEX('03.Muestra'!$F$8:$F$42,SMALL(IF("Página Web"='03.Muestra'!$D$8:$D$42,ROW('03.Muestra'!$F$8:$F$42)-MIN(ROW('03.Muestra'!$D$8:$D$42))+1,""),ROW()-1196)),"")</f>
        <v>https://www.crtm.es/politica-de-cookies</v>
      </c>
      <c r="D1213" s="130" t="s">
        <v>25</v>
      </c>
      <c r="E1213" s="107" t="str">
        <f t="shared" si="62"/>
        <v/>
      </c>
      <c r="F1213" s="19"/>
      <c r="G1213" s="19"/>
      <c r="H1213" s="19"/>
      <c r="I1213" s="19"/>
      <c r="J1213" s="19"/>
      <c r="K1213" s="233"/>
      <c r="L1213" s="19"/>
    </row>
    <row r="1214" spans="1:12" ht="12" customHeight="1">
      <c r="A1214" s="219" cm="1">
        <f t="array" ref="A1214">IFERROR(INDEX('03.Muestra'!$B$8:$B$42,SMALL(IF("Página Web"='03.Muestra'!$D$8:$D$42,ROW('03.Muestra'!$B$8:$B$42)-MIN(ROW('03.Muestra'!$D$8:$D$42))+1,""),ROW()-1196)),"")</f>
        <v>18</v>
      </c>
      <c r="B1214" s="114" t="str" cm="1">
        <f t="array" ref="B1214">IFERROR(INDEX('03.Muestra'!$C$8:$C$42,SMALL(IF("Página Web"='03.Muestra'!$D$8:$D$42,ROW('03.Muestra'!$C$8:$C$42)-MIN(ROW('03.Muestra'!$D$8:$D$42))+1,""),ROW()-1196)),"")</f>
        <v>Aviso Legal</v>
      </c>
      <c r="C1214" s="114" t="str" cm="1">
        <f t="array" ref="C1214">IFERROR(INDEX('03.Muestra'!$F$8:$F$42,SMALL(IF("Página Web"='03.Muestra'!$D$8:$D$42,ROW('03.Muestra'!$F$8:$F$42)-MIN(ROW('03.Muestra'!$D$8:$D$42))+1,""),ROW()-1196)),"")</f>
        <v>https://www.crtm.es/aviso-legal</v>
      </c>
      <c r="D1214" s="130" t="s">
        <v>25</v>
      </c>
      <c r="E1214" s="107" t="str">
        <f t="shared" si="62"/>
        <v/>
      </c>
      <c r="F1214" s="19"/>
      <c r="G1214" s="19"/>
      <c r="H1214" s="19"/>
      <c r="I1214" s="19"/>
      <c r="J1214" s="19"/>
      <c r="K1214" s="233"/>
      <c r="L1214" s="19"/>
    </row>
    <row r="1215" spans="1:12" ht="12" customHeight="1">
      <c r="A1215" s="219" cm="1">
        <f t="array" ref="A1215">IFERROR(INDEX('03.Muestra'!$B$8:$B$42,SMALL(IF("Página Web"='03.Muestra'!$D$8:$D$42,ROW('03.Muestra'!$B$8:$B$42)-MIN(ROW('03.Muestra'!$D$8:$D$42))+1,""),ROW()-1196)),"")</f>
        <v>19</v>
      </c>
      <c r="B1215" s="114" t="str" cm="1">
        <f t="array" ref="B1215">IFERROR(INDEX('03.Muestra'!$C$8:$C$42,SMALL(IF("Página Web"='03.Muestra'!$D$8:$D$42,ROW('03.Muestra'!$C$8:$C$42)-MIN(ROW('03.Muestra'!$D$8:$D$42))+1,""),ROW()-1196)),"")</f>
        <v>Normativa</v>
      </c>
      <c r="C1215" s="114" t="str" cm="1">
        <f t="array" ref="C1215">IFERROR(INDEX('03.Muestra'!$F$8:$F$42,SMALL(IF("Página Web"='03.Muestra'!$D$8:$D$42,ROW('03.Muestra'!$F$8:$F$42)-MIN(ROW('03.Muestra'!$D$8:$D$42))+1,""),ROW()-1196)),"")</f>
        <v>https://www.crtm.es/normativa</v>
      </c>
      <c r="D1215" s="130" t="s">
        <v>25</v>
      </c>
      <c r="E1215" s="107" t="str">
        <f t="shared" si="62"/>
        <v/>
      </c>
      <c r="F1215" s="19"/>
      <c r="G1215" s="19"/>
      <c r="H1215" s="19"/>
      <c r="I1215" s="19"/>
      <c r="J1215" s="19"/>
      <c r="K1215" s="233"/>
      <c r="L1215" s="19"/>
    </row>
    <row r="1216" spans="1:12" ht="12" customHeight="1">
      <c r="A1216" s="219" cm="1">
        <f t="array" ref="A1216">IFERROR(INDEX('03.Muestra'!$B$8:$B$42,SMALL(IF("Página Web"='03.Muestra'!$D$8:$D$42,ROW('03.Muestra'!$B$8:$B$42)-MIN(ROW('03.Muestra'!$D$8:$D$42))+1,""),ROW()-1196)),"")</f>
        <v>20</v>
      </c>
      <c r="B1216" s="114" t="str" cm="1">
        <f t="array" ref="B1216">IFERROR(INDEX('03.Muestra'!$C$8:$C$42,SMALL(IF("Página Web"='03.Muestra'!$D$8:$D$42,ROW('03.Muestra'!$C$8:$C$42)-MIN(ROW('03.Muestra'!$D$8:$D$42))+1,""),ROW()-1196)),"")</f>
        <v>Accesibilidad</v>
      </c>
      <c r="C1216" s="114" t="str" cm="1">
        <f t="array" ref="C1216">IFERROR(INDEX('03.Muestra'!$F$8:$F$42,SMALL(IF("Página Web"='03.Muestra'!$D$8:$D$42,ROW('03.Muestra'!$F$8:$F$42)-MIN(ROW('03.Muestra'!$D$8:$D$42))+1,""),ROW()-1196)),"")</f>
        <v>https://www.crtm.es/accesibilidad</v>
      </c>
      <c r="D1216" s="130" t="s">
        <v>25</v>
      </c>
      <c r="E1216" s="107" t="str">
        <f t="shared" si="62"/>
        <v/>
      </c>
      <c r="F1216" s="19"/>
      <c r="G1216" s="19"/>
      <c r="H1216" s="19"/>
      <c r="I1216" s="19"/>
      <c r="J1216" s="19"/>
      <c r="K1216" s="233"/>
      <c r="L1216" s="19"/>
    </row>
    <row r="1217" spans="1:12" ht="12" customHeight="1">
      <c r="A1217" s="219" cm="1">
        <f t="array" ref="A1217">IFERROR(INDEX('03.Muestra'!$B$8:$B$42,SMALL(IF("Página Web"='03.Muestra'!$D$8:$D$42,ROW('03.Muestra'!$B$8:$B$42)-MIN(ROW('03.Muestra'!$D$8:$D$42))+1,""),ROW()-1196)),"")</f>
        <v>21</v>
      </c>
      <c r="B1217" s="114" t="str" cm="1">
        <f t="array" ref="B1217">IFERROR(INDEX('03.Muestra'!$C$8:$C$42,SMALL(IF("Página Web"='03.Muestra'!$D$8:$D$42,ROW('03.Muestra'!$C$8:$C$42)-MIN(ROW('03.Muestra'!$D$8:$D$42))+1,""),ROW()-1196)),"")</f>
        <v>Modo accesible</v>
      </c>
      <c r="C1217" s="114" t="str" cm="1">
        <f t="array" ref="C1217">IFERROR(INDEX('03.Muestra'!$F$8:$F$42,SMALL(IF("Página Web"='03.Muestra'!$D$8:$D$42,ROW('03.Muestra'!$F$8:$F$42)-MIN(ROW('03.Muestra'!$D$8:$D$42))+1,""),ROW()-1196)),"")</f>
        <v>https://www.crtm.es/</v>
      </c>
      <c r="D1217" s="130" t="s">
        <v>25</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ref="D1218:D1231" si="63">IF(AND(B1218&lt;&gt;"",C1218&lt;&gt;""),"N/T","")</f>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https://www.crtm.es/</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Red de metro</v>
      </c>
      <c r="C1236" s="114" t="str" cm="1">
        <f t="array" ref="C1236">IFERROR(INDEX('03.Muestra'!$F$8:$F$42,SMALL(IF("Página Web"='03.Muestra'!$D$8:$D$42,ROW('03.Muestra'!$F$8:$F$42)-MIN(ROW('03.Muestra'!$D$8:$D$42))+1,""),ROW()-1234)),"")</f>
        <v>https://www.crtm.es/tu-transporte-publico/metro/</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21</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Líneas de metro</v>
      </c>
      <c r="C1237" s="114" t="str" cm="1">
        <f t="array" ref="C1237">IFERROR(INDEX('03.Muestra'!$F$8:$F$42,SMALL(IF("Página Web"='03.Muestra'!$D$8:$D$42,ROW('03.Muestra'!$F$8:$F$42)-MIN(ROW('03.Muestra'!$D$8:$D$42))+1,""),ROW()-1234)),"")</f>
        <v>https://www.crtm.es/tu-transporte-publico/metro/lineas/4__1___</v>
      </c>
      <c r="D1237" s="130" t="s">
        <v>34</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Estaciones Aeropuerto T1-T2-T3</v>
      </c>
      <c r="C1238" s="114" t="str" cm="1">
        <f t="array" ref="C1238">IFERROR(INDEX('03.Muestra'!$F$8:$F$42,SMALL(IF("Página Web"='03.Muestra'!$D$8:$D$42,ROW('03.Muestra'!$F$8:$F$42)-MIN(ROW('03.Muestra'!$D$8:$D$42))+1,""),ROW()-1234)),"")</f>
        <v>https://www.crtm.es/tu-transporte-publico/metro/estaciones/4_159</v>
      </c>
      <c r="D1238" s="130" t="s">
        <v>34</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Muévete por Madrid</v>
      </c>
      <c r="C1239" s="114" t="str" cm="1">
        <f t="array" ref="C1239">IFERROR(INDEX('03.Muestra'!$F$8:$F$42,SMALL(IF("Página Web"='03.Muestra'!$D$8:$D$42,ROW('03.Muestra'!$F$8:$F$42)-MIN(ROW('03.Muestra'!$D$8:$D$42))+1,""),ROW()-1234)),"")</f>
        <v>https://www.crtm.es/muevete-por-madrid/</v>
      </c>
      <c r="D1239" s="130" t="s">
        <v>34</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conexiones con aeropuerto y principales estaciones</v>
      </c>
      <c r="C1240" s="114" t="str" cm="1">
        <f t="array" ref="C1240">IFERROR(INDEX('03.Muestra'!$F$8:$F$42,SMALL(IF("Página Web"='03.Muestra'!$D$8:$D$42,ROW('03.Muestra'!$F$8:$F$42)-MIN(ROW('03.Muestra'!$D$8:$D$42))+1,""),ROW()-1234)),"")</f>
        <v xml:space="preserve">https://www.crtm.es/muevete-por-madrid/conexiones-con-aeropuerto-y-principales-estaciones/ </v>
      </c>
      <c r="D1240" s="130" t="s">
        <v>34</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Atención desplazados Ucranianos</v>
      </c>
      <c r="C1241" s="114" t="str" cm="1">
        <f t="array" ref="C1241">IFERROR(INDEX('03.Muestra'!$F$8:$F$42,SMALL(IF("Página Web"='03.Muestra'!$D$8:$D$42,ROW('03.Muestra'!$F$8:$F$42)-MIN(ROW('03.Muestra'!$D$8:$D$42))+1,""),ROW()-1234)),"")</f>
        <v>https://www.crtm.es/atencion-desplazados-ucranianos/#item3</v>
      </c>
      <c r="D1241" s="130" t="s">
        <v>34</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Preguntas frecuentes (Tarjeta transporte público personal)</v>
      </c>
      <c r="C1242" s="114" t="str" cm="1">
        <f t="array" ref="C1242">IFERROR(INDEX('03.Muestra'!$F$8:$F$42,SMALL(IF("Página Web"='03.Muestra'!$D$8:$D$42,ROW('03.Muestra'!$F$8:$F$42)-MIN(ROW('03.Muestra'!$D$8:$D$42))+1,""),ROW()-1234)),"")</f>
        <v xml:space="preserve"> https://www.crtm.es/billetes-y-tarifas/tarjeta-transporte-publico/preguntas-frecuentes/#item23</v>
      </c>
      <c r="D1242" s="130" t="s">
        <v>34</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Billetes y abonos (Metro)</v>
      </c>
      <c r="C1243" s="114" t="str" cm="1">
        <f t="array" ref="C1243">IFERROR(INDEX('03.Muestra'!$F$8:$F$42,SMALL(IF("Página Web"='03.Muestra'!$D$8:$D$42,ROW('03.Muestra'!$F$8:$F$42)-MIN(ROW('03.Muestra'!$D$8:$D$42))+1,""),ROW()-1234)),"")</f>
        <v>https://www.crtm.es/billetes-y-tarifas/billetes-y-abonos/metro/?idPestana=1&amp;lang=#item10</v>
      </c>
      <c r="D1243" s="130" t="s">
        <v>34</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Billetes y tarifas (App)</v>
      </c>
      <c r="C1244" s="114" t="str" cm="1">
        <f t="array" ref="C1244">IFERROR(INDEX('03.Muestra'!$F$8:$F$42,SMALL(IF("Página Web"='03.Muestra'!$D$8:$D$42,ROW('03.Muestra'!$F$8:$F$42)-MIN(ROW('03.Muestra'!$D$8:$D$42))+1,""),ROW()-1234)),"")</f>
        <v>https://www.crtm.es/billetes-y-tarifas/apps/</v>
      </c>
      <c r="D1244" s="130" t="s">
        <v>34</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Atención al cliente</v>
      </c>
      <c r="C1245" s="114" t="str" cm="1">
        <f t="array" ref="C1245">IFERROR(INDEX('03.Muestra'!$F$8:$F$42,SMALL(IF("Página Web"='03.Muestra'!$D$8:$D$42,ROW('03.Muestra'!$F$8:$F$42)-MIN(ROW('03.Muestra'!$D$8:$D$42))+1,""),ROW()-1234)),"")</f>
        <v>https://www.crtm.es/atencion-al-cliente/</v>
      </c>
      <c r="D1245" s="130" t="s">
        <v>34</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Conócenos</v>
      </c>
      <c r="C1246" s="114" t="str" cm="1">
        <f t="array" ref="C1246">IFERROR(INDEX('03.Muestra'!$F$8:$F$42,SMALL(IF("Página Web"='03.Muestra'!$D$8:$D$42,ROW('03.Muestra'!$F$8:$F$42)-MIN(ROW('03.Muestra'!$D$8:$D$42))+1,""),ROW()-1234)),"")</f>
        <v>https://www.crtm.es/conocenos/#CentrodeDocumentacion</v>
      </c>
      <c r="D1246" s="130" t="s">
        <v>34</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Actualidad del servicio</v>
      </c>
      <c r="C1247" s="114" t="str" cm="1">
        <f t="array" ref="C1247">IFERROR(INDEX('03.Muestra'!$F$8:$F$42,SMALL(IF("Página Web"='03.Muestra'!$D$8:$D$42,ROW('03.Muestra'!$F$8:$F$42)-MIN(ROW('03.Muestra'!$D$8:$D$42))+1,""),ROW()-1234)),"")</f>
        <v>https://www.crtm.es/comunicacion/actualidad-del-servicio/?idPestana=1&amp;lang=es</v>
      </c>
      <c r="D1247" s="130" t="s">
        <v>34</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Galería de fotos</v>
      </c>
      <c r="C1248" s="114" t="str" cm="1">
        <f t="array" ref="C1248">IFERROR(INDEX('03.Muestra'!$F$8:$F$42,SMALL(IF("Página Web"='03.Muestra'!$D$8:$D$42,ROW('03.Muestra'!$F$8:$F$42)-MIN(ROW('03.Muestra'!$D$8:$D$42))+1,""),ROW()-1234)),"")</f>
        <v>https://www.crtm.es/comunicacion/multimedia/galeria-de-fotos/</v>
      </c>
      <c r="D1248" s="130" t="s">
        <v>34</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Mapa web</v>
      </c>
      <c r="C1249" s="114" t="str" cm="1">
        <f t="array" ref="C1249">IFERROR(INDEX('03.Muestra'!$F$8:$F$42,SMALL(IF("Página Web"='03.Muestra'!$D$8:$D$42,ROW('03.Muestra'!$F$8:$F$42)-MIN(ROW('03.Muestra'!$D$8:$D$42))+1,""),ROW()-1234)),"")</f>
        <v>https://www.crtm.es/mapa-web</v>
      </c>
      <c r="D1249" s="130" t="s">
        <v>34</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Protección de datos</v>
      </c>
      <c r="C1250" s="114" t="str" cm="1">
        <f t="array" ref="C1250">IFERROR(INDEX('03.Muestra'!$F$8:$F$42,SMALL(IF("Página Web"='03.Muestra'!$D$8:$D$42,ROW('03.Muestra'!$F$8:$F$42)-MIN(ROW('03.Muestra'!$D$8:$D$42))+1,""),ROW()-1234)),"")</f>
        <v>https://www.crtm.es/proteccion-de-datos</v>
      </c>
      <c r="D1250" s="130" t="s">
        <v>34</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Política de cookies</v>
      </c>
      <c r="C1251" s="114" t="str" cm="1">
        <f t="array" ref="C1251">IFERROR(INDEX('03.Muestra'!$F$8:$F$42,SMALL(IF("Página Web"='03.Muestra'!$D$8:$D$42,ROW('03.Muestra'!$F$8:$F$42)-MIN(ROW('03.Muestra'!$D$8:$D$42))+1,""),ROW()-1234)),"")</f>
        <v>https://www.crtm.es/politica-de-cookies</v>
      </c>
      <c r="D1251" s="130" t="s">
        <v>34</v>
      </c>
      <c r="E1251" s="107" t="str">
        <f t="shared" si="64"/>
        <v/>
      </c>
      <c r="F1251" s="19"/>
      <c r="G1251" s="19"/>
      <c r="H1251" s="19"/>
      <c r="I1251" s="19"/>
      <c r="J1251" s="19"/>
      <c r="K1251" s="233"/>
      <c r="L1251" s="19"/>
    </row>
    <row r="1252" spans="1:12" ht="12" customHeight="1">
      <c r="A1252" s="219" cm="1">
        <f t="array" ref="A1252">IFERROR(INDEX('03.Muestra'!$B$8:$B$42,SMALL(IF("Página Web"='03.Muestra'!$D$8:$D$42,ROW('03.Muestra'!$B$8:$B$42)-MIN(ROW('03.Muestra'!$D$8:$D$42))+1,""),ROW()-1234)),"")</f>
        <v>18</v>
      </c>
      <c r="B1252" s="114" t="str" cm="1">
        <f t="array" ref="B1252">IFERROR(INDEX('03.Muestra'!$C$8:$C$42,SMALL(IF("Página Web"='03.Muestra'!$D$8:$D$42,ROW('03.Muestra'!$C$8:$C$42)-MIN(ROW('03.Muestra'!$D$8:$D$42))+1,""),ROW()-1234)),"")</f>
        <v>Aviso Legal</v>
      </c>
      <c r="C1252" s="114" t="str" cm="1">
        <f t="array" ref="C1252">IFERROR(INDEX('03.Muestra'!$F$8:$F$42,SMALL(IF("Página Web"='03.Muestra'!$D$8:$D$42,ROW('03.Muestra'!$F$8:$F$42)-MIN(ROW('03.Muestra'!$D$8:$D$42))+1,""),ROW()-1234)),"")</f>
        <v>https://www.crtm.es/aviso-legal</v>
      </c>
      <c r="D1252" s="130" t="s">
        <v>34</v>
      </c>
      <c r="E1252" s="107" t="str">
        <f t="shared" si="64"/>
        <v/>
      </c>
      <c r="F1252" s="19"/>
      <c r="G1252" s="19"/>
      <c r="H1252" s="19"/>
      <c r="I1252" s="19"/>
      <c r="J1252" s="19"/>
      <c r="K1252" s="233"/>
      <c r="L1252" s="19"/>
    </row>
    <row r="1253" spans="1:12" ht="12" customHeight="1">
      <c r="A1253" s="219" cm="1">
        <f t="array" ref="A1253">IFERROR(INDEX('03.Muestra'!$B$8:$B$42,SMALL(IF("Página Web"='03.Muestra'!$D$8:$D$42,ROW('03.Muestra'!$B$8:$B$42)-MIN(ROW('03.Muestra'!$D$8:$D$42))+1,""),ROW()-1234)),"")</f>
        <v>19</v>
      </c>
      <c r="B1253" s="114" t="str" cm="1">
        <f t="array" ref="B1253">IFERROR(INDEX('03.Muestra'!$C$8:$C$42,SMALL(IF("Página Web"='03.Muestra'!$D$8:$D$42,ROW('03.Muestra'!$C$8:$C$42)-MIN(ROW('03.Muestra'!$D$8:$D$42))+1,""),ROW()-1234)),"")</f>
        <v>Normativa</v>
      </c>
      <c r="C1253" s="114" t="str" cm="1">
        <f t="array" ref="C1253">IFERROR(INDEX('03.Muestra'!$F$8:$F$42,SMALL(IF("Página Web"='03.Muestra'!$D$8:$D$42,ROW('03.Muestra'!$F$8:$F$42)-MIN(ROW('03.Muestra'!$D$8:$D$42))+1,""),ROW()-1234)),"")</f>
        <v>https://www.crtm.es/normativa</v>
      </c>
      <c r="D1253" s="130" t="s">
        <v>34</v>
      </c>
      <c r="E1253" s="107" t="str">
        <f t="shared" si="64"/>
        <v/>
      </c>
      <c r="F1253" s="19"/>
      <c r="G1253" s="19"/>
      <c r="H1253" s="19"/>
      <c r="I1253" s="19"/>
      <c r="J1253" s="19"/>
      <c r="K1253" s="233"/>
      <c r="L1253" s="19"/>
    </row>
    <row r="1254" spans="1:12" ht="12" customHeight="1">
      <c r="A1254" s="219" cm="1">
        <f t="array" ref="A1254">IFERROR(INDEX('03.Muestra'!$B$8:$B$42,SMALL(IF("Página Web"='03.Muestra'!$D$8:$D$42,ROW('03.Muestra'!$B$8:$B$42)-MIN(ROW('03.Muestra'!$D$8:$D$42))+1,""),ROW()-1234)),"")</f>
        <v>20</v>
      </c>
      <c r="B1254" s="114" t="str" cm="1">
        <f t="array" ref="B1254">IFERROR(INDEX('03.Muestra'!$C$8:$C$42,SMALL(IF("Página Web"='03.Muestra'!$D$8:$D$42,ROW('03.Muestra'!$C$8:$C$42)-MIN(ROW('03.Muestra'!$D$8:$D$42))+1,""),ROW()-1234)),"")</f>
        <v>Accesibilidad</v>
      </c>
      <c r="C1254" s="114" t="str" cm="1">
        <f t="array" ref="C1254">IFERROR(INDEX('03.Muestra'!$F$8:$F$42,SMALL(IF("Página Web"='03.Muestra'!$D$8:$D$42,ROW('03.Muestra'!$F$8:$F$42)-MIN(ROW('03.Muestra'!$D$8:$D$42))+1,""),ROW()-1234)),"")</f>
        <v>https://www.crtm.es/accesibilidad</v>
      </c>
      <c r="D1254" s="130" t="s">
        <v>34</v>
      </c>
      <c r="E1254" s="107" t="str">
        <f t="shared" si="64"/>
        <v/>
      </c>
      <c r="F1254" s="19"/>
      <c r="G1254" s="19"/>
      <c r="H1254" s="19"/>
      <c r="I1254" s="19"/>
      <c r="J1254" s="19"/>
      <c r="K1254" s="233"/>
      <c r="L1254" s="19"/>
    </row>
    <row r="1255" spans="1:12" ht="12" customHeight="1">
      <c r="A1255" s="219" cm="1">
        <f t="array" ref="A1255">IFERROR(INDEX('03.Muestra'!$B$8:$B$42,SMALL(IF("Página Web"='03.Muestra'!$D$8:$D$42,ROW('03.Muestra'!$B$8:$B$42)-MIN(ROW('03.Muestra'!$D$8:$D$42))+1,""),ROW()-1234)),"")</f>
        <v>21</v>
      </c>
      <c r="B1255" s="114" t="str" cm="1">
        <f t="array" ref="B1255">IFERROR(INDEX('03.Muestra'!$C$8:$C$42,SMALL(IF("Página Web"='03.Muestra'!$D$8:$D$42,ROW('03.Muestra'!$C$8:$C$42)-MIN(ROW('03.Muestra'!$D$8:$D$42))+1,""),ROW()-1234)),"")</f>
        <v>Modo accesible</v>
      </c>
      <c r="C1255" s="114" t="str" cm="1">
        <f t="array" ref="C1255">IFERROR(INDEX('03.Muestra'!$F$8:$F$42,SMALL(IF("Página Web"='03.Muestra'!$D$8:$D$42,ROW('03.Muestra'!$F$8:$F$42)-MIN(ROW('03.Muestra'!$D$8:$D$42))+1,""),ROW()-1234)),"")</f>
        <v>https://www.crtm.es/</v>
      </c>
      <c r="D1255" s="130" t="s">
        <v>34</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ref="D1256:D1269" si="65">IF(AND(B1256&lt;&gt;"",C1256&lt;&gt;""),"N/T","")</f>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https://www.crtm.es/</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Red de metro</v>
      </c>
      <c r="C1274" s="114" t="str" cm="1">
        <f t="array" ref="C1274">IFERROR(INDEX('03.Muestra'!$F$8:$F$42,SMALL(IF("Página Web"='03.Muestra'!$D$8:$D$42,ROW('03.Muestra'!$F$8:$F$42)-MIN(ROW('03.Muestra'!$D$8:$D$42))+1,""),ROW()-1272)),"")</f>
        <v>https://www.crtm.es/tu-transporte-publico/metro/</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21</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Líneas de metro</v>
      </c>
      <c r="C1275" s="114" t="str" cm="1">
        <f t="array" ref="C1275">IFERROR(INDEX('03.Muestra'!$F$8:$F$42,SMALL(IF("Página Web"='03.Muestra'!$D$8:$D$42,ROW('03.Muestra'!$F$8:$F$42)-MIN(ROW('03.Muestra'!$D$8:$D$42))+1,""),ROW()-1272)),"")</f>
        <v>https://www.crtm.es/tu-transporte-publico/metro/lineas/4__1___</v>
      </c>
      <c r="D1275" s="130" t="s">
        <v>25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Estaciones Aeropuerto T1-T2-T3</v>
      </c>
      <c r="C1276" s="114" t="str" cm="1">
        <f t="array" ref="C1276">IFERROR(INDEX('03.Muestra'!$F$8:$F$42,SMALL(IF("Página Web"='03.Muestra'!$D$8:$D$42,ROW('03.Muestra'!$F$8:$F$42)-MIN(ROW('03.Muestra'!$D$8:$D$42))+1,""),ROW()-1272)),"")</f>
        <v>https://www.crtm.es/tu-transporte-publico/metro/estaciones/4_159</v>
      </c>
      <c r="D1276" s="130" t="s">
        <v>25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Muévete por Madrid</v>
      </c>
      <c r="C1277" s="114" t="str" cm="1">
        <f t="array" ref="C1277">IFERROR(INDEX('03.Muestra'!$F$8:$F$42,SMALL(IF("Página Web"='03.Muestra'!$D$8:$D$42,ROW('03.Muestra'!$F$8:$F$42)-MIN(ROW('03.Muestra'!$D$8:$D$42))+1,""),ROW()-1272)),"")</f>
        <v>https://www.crtm.es/muevete-por-madrid/</v>
      </c>
      <c r="D1277" s="130" t="s">
        <v>25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conexiones con aeropuerto y principales estaciones</v>
      </c>
      <c r="C1278" s="114" t="str" cm="1">
        <f t="array" ref="C1278">IFERROR(INDEX('03.Muestra'!$F$8:$F$42,SMALL(IF("Página Web"='03.Muestra'!$D$8:$D$42,ROW('03.Muestra'!$F$8:$F$42)-MIN(ROW('03.Muestra'!$D$8:$D$42))+1,""),ROW()-1272)),"")</f>
        <v xml:space="preserve">https://www.crtm.es/muevete-por-madrid/conexiones-con-aeropuerto-y-principales-estaciones/ </v>
      </c>
      <c r="D1278" s="130" t="s">
        <v>25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Atención desplazados Ucranianos</v>
      </c>
      <c r="C1279" s="114" t="str" cm="1">
        <f t="array" ref="C1279">IFERROR(INDEX('03.Muestra'!$F$8:$F$42,SMALL(IF("Página Web"='03.Muestra'!$D$8:$D$42,ROW('03.Muestra'!$F$8:$F$42)-MIN(ROW('03.Muestra'!$D$8:$D$42))+1,""),ROW()-1272)),"")</f>
        <v>https://www.crtm.es/atencion-desplazados-ucranianos/#item3</v>
      </c>
      <c r="D1279" s="130" t="s">
        <v>25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Preguntas frecuentes (Tarjeta transporte público personal)</v>
      </c>
      <c r="C1280" s="114" t="str" cm="1">
        <f t="array" ref="C1280">IFERROR(INDEX('03.Muestra'!$F$8:$F$42,SMALL(IF("Página Web"='03.Muestra'!$D$8:$D$42,ROW('03.Muestra'!$F$8:$F$42)-MIN(ROW('03.Muestra'!$D$8:$D$42))+1,""),ROW()-1272)),"")</f>
        <v xml:space="preserve"> https://www.crtm.es/billetes-y-tarifas/tarjeta-transporte-publico/preguntas-frecuentes/#item23</v>
      </c>
      <c r="D1280" s="130" t="s">
        <v>25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Billetes y abonos (Metro)</v>
      </c>
      <c r="C1281" s="114" t="str" cm="1">
        <f t="array" ref="C1281">IFERROR(INDEX('03.Muestra'!$F$8:$F$42,SMALL(IF("Página Web"='03.Muestra'!$D$8:$D$42,ROW('03.Muestra'!$F$8:$F$42)-MIN(ROW('03.Muestra'!$D$8:$D$42))+1,""),ROW()-1272)),"")</f>
        <v>https://www.crtm.es/billetes-y-tarifas/billetes-y-abonos/metro/?idPestana=1&amp;lang=#item10</v>
      </c>
      <c r="D1281" s="130" t="s">
        <v>25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Billetes y tarifas (App)</v>
      </c>
      <c r="C1282" s="114" t="str" cm="1">
        <f t="array" ref="C1282">IFERROR(INDEX('03.Muestra'!$F$8:$F$42,SMALL(IF("Página Web"='03.Muestra'!$D$8:$D$42,ROW('03.Muestra'!$F$8:$F$42)-MIN(ROW('03.Muestra'!$D$8:$D$42))+1,""),ROW()-1272)),"")</f>
        <v>https://www.crtm.es/billetes-y-tarifas/apps/</v>
      </c>
      <c r="D1282" s="130" t="s">
        <v>25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Atención al cliente</v>
      </c>
      <c r="C1283" s="114" t="str" cm="1">
        <f t="array" ref="C1283">IFERROR(INDEX('03.Muestra'!$F$8:$F$42,SMALL(IF("Página Web"='03.Muestra'!$D$8:$D$42,ROW('03.Muestra'!$F$8:$F$42)-MIN(ROW('03.Muestra'!$D$8:$D$42))+1,""),ROW()-1272)),"")</f>
        <v>https://www.crtm.es/atencion-al-cliente/</v>
      </c>
      <c r="D1283" s="130" t="s">
        <v>25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Conócenos</v>
      </c>
      <c r="C1284" s="114" t="str" cm="1">
        <f t="array" ref="C1284">IFERROR(INDEX('03.Muestra'!$F$8:$F$42,SMALL(IF("Página Web"='03.Muestra'!$D$8:$D$42,ROW('03.Muestra'!$F$8:$F$42)-MIN(ROW('03.Muestra'!$D$8:$D$42))+1,""),ROW()-1272)),"")</f>
        <v>https://www.crtm.es/conocenos/#CentrodeDocumentacion</v>
      </c>
      <c r="D1284" s="130" t="s">
        <v>25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Actualidad del servicio</v>
      </c>
      <c r="C1285" s="114" t="str" cm="1">
        <f t="array" ref="C1285">IFERROR(INDEX('03.Muestra'!$F$8:$F$42,SMALL(IF("Página Web"='03.Muestra'!$D$8:$D$42,ROW('03.Muestra'!$F$8:$F$42)-MIN(ROW('03.Muestra'!$D$8:$D$42))+1,""),ROW()-1272)),"")</f>
        <v>https://www.crtm.es/comunicacion/actualidad-del-servicio/?idPestana=1&amp;lang=es</v>
      </c>
      <c r="D1285" s="130" t="s">
        <v>25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Galería de fotos</v>
      </c>
      <c r="C1286" s="114" t="str" cm="1">
        <f t="array" ref="C1286">IFERROR(INDEX('03.Muestra'!$F$8:$F$42,SMALL(IF("Página Web"='03.Muestra'!$D$8:$D$42,ROW('03.Muestra'!$F$8:$F$42)-MIN(ROW('03.Muestra'!$D$8:$D$42))+1,""),ROW()-1272)),"")</f>
        <v>https://www.crtm.es/comunicacion/multimedia/galeria-de-fotos/</v>
      </c>
      <c r="D1286" s="130" t="s">
        <v>25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Mapa web</v>
      </c>
      <c r="C1287" s="114" t="str" cm="1">
        <f t="array" ref="C1287">IFERROR(INDEX('03.Muestra'!$F$8:$F$42,SMALL(IF("Página Web"='03.Muestra'!$D$8:$D$42,ROW('03.Muestra'!$F$8:$F$42)-MIN(ROW('03.Muestra'!$D$8:$D$42))+1,""),ROW()-1272)),"")</f>
        <v>https://www.crtm.es/mapa-web</v>
      </c>
      <c r="D1287" s="130" t="s">
        <v>25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Protección de datos</v>
      </c>
      <c r="C1288" s="114" t="str" cm="1">
        <f t="array" ref="C1288">IFERROR(INDEX('03.Muestra'!$F$8:$F$42,SMALL(IF("Página Web"='03.Muestra'!$D$8:$D$42,ROW('03.Muestra'!$F$8:$F$42)-MIN(ROW('03.Muestra'!$D$8:$D$42))+1,""),ROW()-1272)),"")</f>
        <v>https://www.crtm.es/proteccion-de-datos</v>
      </c>
      <c r="D1288" s="130" t="s">
        <v>25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Política de cookies</v>
      </c>
      <c r="C1289" s="114" t="str" cm="1">
        <f t="array" ref="C1289">IFERROR(INDEX('03.Muestra'!$F$8:$F$42,SMALL(IF("Página Web"='03.Muestra'!$D$8:$D$42,ROW('03.Muestra'!$F$8:$F$42)-MIN(ROW('03.Muestra'!$D$8:$D$42))+1,""),ROW()-1272)),"")</f>
        <v>https://www.crtm.es/politica-de-cookies</v>
      </c>
      <c r="D1289" s="130" t="s">
        <v>25</v>
      </c>
      <c r="E1289" s="107" t="str">
        <f t="shared" si="66"/>
        <v/>
      </c>
      <c r="F1289" s="19"/>
      <c r="G1289" s="19"/>
      <c r="H1289" s="19"/>
      <c r="I1289" s="19"/>
      <c r="J1289" s="19"/>
      <c r="K1289" s="233"/>
      <c r="L1289" s="19"/>
    </row>
    <row r="1290" spans="1:12" ht="12" customHeight="1">
      <c r="A1290" s="219" cm="1">
        <f t="array" ref="A1290">IFERROR(INDEX('03.Muestra'!$B$8:$B$42,SMALL(IF("Página Web"='03.Muestra'!$D$8:$D$42,ROW('03.Muestra'!$B$8:$B$42)-MIN(ROW('03.Muestra'!$D$8:$D$42))+1,""),ROW()-1272)),"")</f>
        <v>18</v>
      </c>
      <c r="B1290" s="114" t="str" cm="1">
        <f t="array" ref="B1290">IFERROR(INDEX('03.Muestra'!$C$8:$C$42,SMALL(IF("Página Web"='03.Muestra'!$D$8:$D$42,ROW('03.Muestra'!$C$8:$C$42)-MIN(ROW('03.Muestra'!$D$8:$D$42))+1,""),ROW()-1272)),"")</f>
        <v>Aviso Legal</v>
      </c>
      <c r="C1290" s="114" t="str" cm="1">
        <f t="array" ref="C1290">IFERROR(INDEX('03.Muestra'!$F$8:$F$42,SMALL(IF("Página Web"='03.Muestra'!$D$8:$D$42,ROW('03.Muestra'!$F$8:$F$42)-MIN(ROW('03.Muestra'!$D$8:$D$42))+1,""),ROW()-1272)),"")</f>
        <v>https://www.crtm.es/aviso-legal</v>
      </c>
      <c r="D1290" s="130" t="s">
        <v>25</v>
      </c>
      <c r="E1290" s="107" t="str">
        <f t="shared" si="66"/>
        <v/>
      </c>
      <c r="F1290" s="19"/>
      <c r="G1290" s="19"/>
      <c r="H1290" s="19"/>
      <c r="I1290" s="19"/>
      <c r="J1290" s="19"/>
      <c r="K1290" s="233"/>
      <c r="L1290" s="19"/>
    </row>
    <row r="1291" spans="1:12" ht="12" customHeight="1">
      <c r="A1291" s="219" cm="1">
        <f t="array" ref="A1291">IFERROR(INDEX('03.Muestra'!$B$8:$B$42,SMALL(IF("Página Web"='03.Muestra'!$D$8:$D$42,ROW('03.Muestra'!$B$8:$B$42)-MIN(ROW('03.Muestra'!$D$8:$D$42))+1,""),ROW()-1272)),"")</f>
        <v>19</v>
      </c>
      <c r="B1291" s="114" t="str" cm="1">
        <f t="array" ref="B1291">IFERROR(INDEX('03.Muestra'!$C$8:$C$42,SMALL(IF("Página Web"='03.Muestra'!$D$8:$D$42,ROW('03.Muestra'!$C$8:$C$42)-MIN(ROW('03.Muestra'!$D$8:$D$42))+1,""),ROW()-1272)),"")</f>
        <v>Normativa</v>
      </c>
      <c r="C1291" s="114" t="str" cm="1">
        <f t="array" ref="C1291">IFERROR(INDEX('03.Muestra'!$F$8:$F$42,SMALL(IF("Página Web"='03.Muestra'!$D$8:$D$42,ROW('03.Muestra'!$F$8:$F$42)-MIN(ROW('03.Muestra'!$D$8:$D$42))+1,""),ROW()-1272)),"")</f>
        <v>https://www.crtm.es/normativa</v>
      </c>
      <c r="D1291" s="130" t="s">
        <v>25</v>
      </c>
      <c r="E1291" s="107" t="str">
        <f t="shared" si="66"/>
        <v/>
      </c>
      <c r="F1291" s="19"/>
      <c r="G1291" s="19"/>
      <c r="H1291" s="19"/>
      <c r="I1291" s="19"/>
      <c r="J1291" s="19"/>
      <c r="K1291" s="233"/>
      <c r="L1291" s="19"/>
    </row>
    <row r="1292" spans="1:12" ht="12" customHeight="1">
      <c r="A1292" s="219" cm="1">
        <f t="array" ref="A1292">IFERROR(INDEX('03.Muestra'!$B$8:$B$42,SMALL(IF("Página Web"='03.Muestra'!$D$8:$D$42,ROW('03.Muestra'!$B$8:$B$42)-MIN(ROW('03.Muestra'!$D$8:$D$42))+1,""),ROW()-1272)),"")</f>
        <v>20</v>
      </c>
      <c r="B1292" s="114" t="str" cm="1">
        <f t="array" ref="B1292">IFERROR(INDEX('03.Muestra'!$C$8:$C$42,SMALL(IF("Página Web"='03.Muestra'!$D$8:$D$42,ROW('03.Muestra'!$C$8:$C$42)-MIN(ROW('03.Muestra'!$D$8:$D$42))+1,""),ROW()-1272)),"")</f>
        <v>Accesibilidad</v>
      </c>
      <c r="C1292" s="114" t="str" cm="1">
        <f t="array" ref="C1292">IFERROR(INDEX('03.Muestra'!$F$8:$F$42,SMALL(IF("Página Web"='03.Muestra'!$D$8:$D$42,ROW('03.Muestra'!$F$8:$F$42)-MIN(ROW('03.Muestra'!$D$8:$D$42))+1,""),ROW()-1272)),"")</f>
        <v>https://www.crtm.es/accesibilidad</v>
      </c>
      <c r="D1292" s="130" t="s">
        <v>25</v>
      </c>
      <c r="E1292" s="107" t="str">
        <f t="shared" si="66"/>
        <v/>
      </c>
      <c r="F1292" s="19"/>
      <c r="G1292" s="19"/>
      <c r="H1292" s="19"/>
      <c r="I1292" s="19"/>
      <c r="J1292" s="19"/>
      <c r="K1292" s="233"/>
      <c r="L1292" s="19"/>
    </row>
    <row r="1293" spans="1:12" ht="12" customHeight="1">
      <c r="A1293" s="219" cm="1">
        <f t="array" ref="A1293">IFERROR(INDEX('03.Muestra'!$B$8:$B$42,SMALL(IF("Página Web"='03.Muestra'!$D$8:$D$42,ROW('03.Muestra'!$B$8:$B$42)-MIN(ROW('03.Muestra'!$D$8:$D$42))+1,""),ROW()-1272)),"")</f>
        <v>21</v>
      </c>
      <c r="B1293" s="114" t="str" cm="1">
        <f t="array" ref="B1293">IFERROR(INDEX('03.Muestra'!$C$8:$C$42,SMALL(IF("Página Web"='03.Muestra'!$D$8:$D$42,ROW('03.Muestra'!$C$8:$C$42)-MIN(ROW('03.Muestra'!$D$8:$D$42))+1,""),ROW()-1272)),"")</f>
        <v>Modo accesible</v>
      </c>
      <c r="C1293" s="114" t="str" cm="1">
        <f t="array" ref="C1293">IFERROR(INDEX('03.Muestra'!$F$8:$F$42,SMALL(IF("Página Web"='03.Muestra'!$D$8:$D$42,ROW('03.Muestra'!$F$8:$F$42)-MIN(ROW('03.Muestra'!$D$8:$D$42))+1,""),ROW()-1272)),"")</f>
        <v>https://www.crtm.es/</v>
      </c>
      <c r="D1293" s="130" t="s">
        <v>25</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ref="D1294:D1307" si="67">IF(AND(B1294&lt;&gt;"",C1294&lt;&gt;""),"N/T","")</f>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https://www.crtm.es/</v>
      </c>
      <c r="D1311" s="130" t="s">
        <v>27</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Red de metro</v>
      </c>
      <c r="C1312" s="114" t="str" cm="1">
        <f t="array" ref="C1312">IFERROR(INDEX('03.Muestra'!$F$8:$F$42,SMALL(IF("Página Web"='03.Muestra'!$D$8:$D$42,ROW('03.Muestra'!$F$8:$F$42)-MIN(ROW('03.Muestra'!$D$8:$D$42))+1,""),ROW()-1310)),"")</f>
        <v>https://www.crtm.es/tu-transporte-publico/metro/</v>
      </c>
      <c r="D1312" s="130" t="s">
        <v>27</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20</v>
      </c>
      <c r="J1312" s="120">
        <f ca="1">COUNTIF($D1311:INDIRECT("$D" &amp;  SUM(ROW()-1,'03.Muestra'!$D$45)-1),J1311)</f>
        <v>1</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Líneas de metro</v>
      </c>
      <c r="C1313" s="114" t="str" cm="1">
        <f t="array" ref="C1313">IFERROR(INDEX('03.Muestra'!$F$8:$F$42,SMALL(IF("Página Web"='03.Muestra'!$D$8:$D$42,ROW('03.Muestra'!$F$8:$F$42)-MIN(ROW('03.Muestra'!$D$8:$D$42))+1,""),ROW()-1310)),"")</f>
        <v>https://www.crtm.es/tu-transporte-publico/metro/lineas/4__1___</v>
      </c>
      <c r="D1313" s="130" t="s">
        <v>27</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Estaciones Aeropuerto T1-T2-T3</v>
      </c>
      <c r="C1314" s="114" t="str" cm="1">
        <f t="array" ref="C1314">IFERROR(INDEX('03.Muestra'!$F$8:$F$42,SMALL(IF("Página Web"='03.Muestra'!$D$8:$D$42,ROW('03.Muestra'!$F$8:$F$42)-MIN(ROW('03.Muestra'!$D$8:$D$42))+1,""),ROW()-1310)),"")</f>
        <v>https://www.crtm.es/tu-transporte-publico/metro/estaciones/4_159</v>
      </c>
      <c r="D1314" s="130" t="s">
        <v>27</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Muévete por Madrid</v>
      </c>
      <c r="C1315" s="114" t="str" cm="1">
        <f t="array" ref="C1315">IFERROR(INDEX('03.Muestra'!$F$8:$F$42,SMALL(IF("Página Web"='03.Muestra'!$D$8:$D$42,ROW('03.Muestra'!$F$8:$F$42)-MIN(ROW('03.Muestra'!$D$8:$D$42))+1,""),ROW()-1310)),"")</f>
        <v>https://www.crtm.es/muevete-por-madrid/</v>
      </c>
      <c r="D1315" s="130" t="s">
        <v>27</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conexiones con aeropuerto y principales estaciones</v>
      </c>
      <c r="C1316" s="114" t="str" cm="1">
        <f t="array" ref="C1316">IFERROR(INDEX('03.Muestra'!$F$8:$F$42,SMALL(IF("Página Web"='03.Muestra'!$D$8:$D$42,ROW('03.Muestra'!$F$8:$F$42)-MIN(ROW('03.Muestra'!$D$8:$D$42))+1,""),ROW()-1310)),"")</f>
        <v xml:space="preserve">https://www.crtm.es/muevete-por-madrid/conexiones-con-aeropuerto-y-principales-estaciones/ </v>
      </c>
      <c r="D1316" s="130" t="s">
        <v>27</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Atención desplazados Ucranianos</v>
      </c>
      <c r="C1317" s="114" t="str" cm="1">
        <f t="array" ref="C1317">IFERROR(INDEX('03.Muestra'!$F$8:$F$42,SMALL(IF("Página Web"='03.Muestra'!$D$8:$D$42,ROW('03.Muestra'!$F$8:$F$42)-MIN(ROW('03.Muestra'!$D$8:$D$42))+1,""),ROW()-1310)),"")</f>
        <v>https://www.crtm.es/atencion-desplazados-ucranianos/#item3</v>
      </c>
      <c r="D1317" s="130" t="s">
        <v>27</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Preguntas frecuentes (Tarjeta transporte público personal)</v>
      </c>
      <c r="C1318" s="114" t="str" cm="1">
        <f t="array" ref="C1318">IFERROR(INDEX('03.Muestra'!$F$8:$F$42,SMALL(IF("Página Web"='03.Muestra'!$D$8:$D$42,ROW('03.Muestra'!$F$8:$F$42)-MIN(ROW('03.Muestra'!$D$8:$D$42))+1,""),ROW()-1310)),"")</f>
        <v xml:space="preserve"> https://www.crtm.es/billetes-y-tarifas/tarjeta-transporte-publico/preguntas-frecuentes/#item23</v>
      </c>
      <c r="D1318" s="130" t="s">
        <v>27</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Billetes y abonos (Metro)</v>
      </c>
      <c r="C1319" s="114" t="str" cm="1">
        <f t="array" ref="C1319">IFERROR(INDEX('03.Muestra'!$F$8:$F$42,SMALL(IF("Página Web"='03.Muestra'!$D$8:$D$42,ROW('03.Muestra'!$F$8:$F$42)-MIN(ROW('03.Muestra'!$D$8:$D$42))+1,""),ROW()-1310)),"")</f>
        <v>https://www.crtm.es/billetes-y-tarifas/billetes-y-abonos/metro/?idPestana=1&amp;lang=#item10</v>
      </c>
      <c r="D1319" s="130" t="s">
        <v>27</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Billetes y tarifas (App)</v>
      </c>
      <c r="C1320" s="114" t="str" cm="1">
        <f t="array" ref="C1320">IFERROR(INDEX('03.Muestra'!$F$8:$F$42,SMALL(IF("Página Web"='03.Muestra'!$D$8:$D$42,ROW('03.Muestra'!$F$8:$F$42)-MIN(ROW('03.Muestra'!$D$8:$D$42))+1,""),ROW()-1310)),"")</f>
        <v>https://www.crtm.es/billetes-y-tarifas/apps/</v>
      </c>
      <c r="D1320" s="130" t="s">
        <v>27</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Atención al cliente</v>
      </c>
      <c r="C1321" s="114" t="str" cm="1">
        <f t="array" ref="C1321">IFERROR(INDEX('03.Muestra'!$F$8:$F$42,SMALL(IF("Página Web"='03.Muestra'!$D$8:$D$42,ROW('03.Muestra'!$F$8:$F$42)-MIN(ROW('03.Muestra'!$D$8:$D$42))+1,""),ROW()-1310)),"")</f>
        <v>https://www.crtm.es/atencion-al-cliente/</v>
      </c>
      <c r="D1321" s="130" t="s">
        <v>27</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Conócenos</v>
      </c>
      <c r="C1322" s="114" t="str" cm="1">
        <f t="array" ref="C1322">IFERROR(INDEX('03.Muestra'!$F$8:$F$42,SMALL(IF("Página Web"='03.Muestra'!$D$8:$D$42,ROW('03.Muestra'!$F$8:$F$42)-MIN(ROW('03.Muestra'!$D$8:$D$42))+1,""),ROW()-1310)),"")</f>
        <v>https://www.crtm.es/conocenos/#CentrodeDocumentacion</v>
      </c>
      <c r="D1322" s="130" t="s">
        <v>27</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Actualidad del servicio</v>
      </c>
      <c r="C1323" s="114" t="str" cm="1">
        <f t="array" ref="C1323">IFERROR(INDEX('03.Muestra'!$F$8:$F$42,SMALL(IF("Página Web"='03.Muestra'!$D$8:$D$42,ROW('03.Muestra'!$F$8:$F$42)-MIN(ROW('03.Muestra'!$D$8:$D$42))+1,""),ROW()-1310)),"")</f>
        <v>https://www.crtm.es/comunicacion/actualidad-del-servicio/?idPestana=1&amp;lang=es</v>
      </c>
      <c r="D1323" s="130" t="s">
        <v>27</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Galería de fotos</v>
      </c>
      <c r="C1324" s="114" t="str" cm="1">
        <f t="array" ref="C1324">IFERROR(INDEX('03.Muestra'!$F$8:$F$42,SMALL(IF("Página Web"='03.Muestra'!$D$8:$D$42,ROW('03.Muestra'!$F$8:$F$42)-MIN(ROW('03.Muestra'!$D$8:$D$42))+1,""),ROW()-1310)),"")</f>
        <v>https://www.crtm.es/comunicacion/multimedia/galeria-de-fotos/</v>
      </c>
      <c r="D1324" s="130" t="s">
        <v>27</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Mapa web</v>
      </c>
      <c r="C1325" s="114" t="str" cm="1">
        <f t="array" ref="C1325">IFERROR(INDEX('03.Muestra'!$F$8:$F$42,SMALL(IF("Página Web"='03.Muestra'!$D$8:$D$42,ROW('03.Muestra'!$F$8:$F$42)-MIN(ROW('03.Muestra'!$D$8:$D$42))+1,""),ROW()-1310)),"")</f>
        <v>https://www.crtm.es/mapa-web</v>
      </c>
      <c r="D1325" s="130" t="s">
        <v>27</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Protección de datos</v>
      </c>
      <c r="C1326" s="114" t="str" cm="1">
        <f t="array" ref="C1326">IFERROR(INDEX('03.Muestra'!$F$8:$F$42,SMALL(IF("Página Web"='03.Muestra'!$D$8:$D$42,ROW('03.Muestra'!$F$8:$F$42)-MIN(ROW('03.Muestra'!$D$8:$D$42))+1,""),ROW()-1310)),"")</f>
        <v>https://www.crtm.es/proteccion-de-datos</v>
      </c>
      <c r="D1326" s="130" t="s">
        <v>27</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Política de cookies</v>
      </c>
      <c r="C1327" s="114" t="str" cm="1">
        <f t="array" ref="C1327">IFERROR(INDEX('03.Muestra'!$F$8:$F$42,SMALL(IF("Página Web"='03.Muestra'!$D$8:$D$42,ROW('03.Muestra'!$F$8:$F$42)-MIN(ROW('03.Muestra'!$D$8:$D$42))+1,""),ROW()-1310)),"")</f>
        <v>https://www.crtm.es/politica-de-cookies</v>
      </c>
      <c r="D1327" s="130" t="s">
        <v>27</v>
      </c>
      <c r="E1327" s="107" t="str">
        <f t="shared" si="68"/>
        <v/>
      </c>
      <c r="F1327" s="19"/>
      <c r="G1327" s="19"/>
      <c r="H1327" s="19"/>
      <c r="I1327" s="19"/>
      <c r="J1327" s="19"/>
      <c r="K1327" s="233"/>
      <c r="L1327" s="19"/>
    </row>
    <row r="1328" spans="1:12" ht="12" customHeight="1">
      <c r="A1328" s="219" cm="1">
        <f t="array" ref="A1328">IFERROR(INDEX('03.Muestra'!$B$8:$B$42,SMALL(IF("Página Web"='03.Muestra'!$D$8:$D$42,ROW('03.Muestra'!$B$8:$B$42)-MIN(ROW('03.Muestra'!$D$8:$D$42))+1,""),ROW()-1310)),"")</f>
        <v>18</v>
      </c>
      <c r="B1328" s="114" t="str" cm="1">
        <f t="array" ref="B1328">IFERROR(INDEX('03.Muestra'!$C$8:$C$42,SMALL(IF("Página Web"='03.Muestra'!$D$8:$D$42,ROW('03.Muestra'!$C$8:$C$42)-MIN(ROW('03.Muestra'!$D$8:$D$42))+1,""),ROW()-1310)),"")</f>
        <v>Aviso Legal</v>
      </c>
      <c r="C1328" s="114" t="str" cm="1">
        <f t="array" ref="C1328">IFERROR(INDEX('03.Muestra'!$F$8:$F$42,SMALL(IF("Página Web"='03.Muestra'!$D$8:$D$42,ROW('03.Muestra'!$F$8:$F$42)-MIN(ROW('03.Muestra'!$D$8:$D$42))+1,""),ROW()-1310)),"")</f>
        <v>https://www.crtm.es/aviso-legal</v>
      </c>
      <c r="D1328" s="130" t="s">
        <v>27</v>
      </c>
      <c r="E1328" s="107" t="str">
        <f t="shared" si="68"/>
        <v/>
      </c>
      <c r="F1328" s="19"/>
      <c r="G1328" s="19"/>
      <c r="H1328" s="19"/>
      <c r="I1328" s="19"/>
      <c r="J1328" s="19"/>
      <c r="K1328" s="233"/>
      <c r="L1328" s="19"/>
    </row>
    <row r="1329" spans="1:12" ht="12" customHeight="1">
      <c r="A1329" s="219" cm="1">
        <f t="array" ref="A1329">IFERROR(INDEX('03.Muestra'!$B$8:$B$42,SMALL(IF("Página Web"='03.Muestra'!$D$8:$D$42,ROW('03.Muestra'!$B$8:$B$42)-MIN(ROW('03.Muestra'!$D$8:$D$42))+1,""),ROW()-1310)),"")</f>
        <v>19</v>
      </c>
      <c r="B1329" s="114" t="str" cm="1">
        <f t="array" ref="B1329">IFERROR(INDEX('03.Muestra'!$C$8:$C$42,SMALL(IF("Página Web"='03.Muestra'!$D$8:$D$42,ROW('03.Muestra'!$C$8:$C$42)-MIN(ROW('03.Muestra'!$D$8:$D$42))+1,""),ROW()-1310)),"")</f>
        <v>Normativa</v>
      </c>
      <c r="C1329" s="114" t="str" cm="1">
        <f t="array" ref="C1329">IFERROR(INDEX('03.Muestra'!$F$8:$F$42,SMALL(IF("Página Web"='03.Muestra'!$D$8:$D$42,ROW('03.Muestra'!$F$8:$F$42)-MIN(ROW('03.Muestra'!$D$8:$D$42))+1,""),ROW()-1310)),"")</f>
        <v>https://www.crtm.es/normativa</v>
      </c>
      <c r="D1329" s="130" t="s">
        <v>27</v>
      </c>
      <c r="E1329" s="107" t="str">
        <f t="shared" si="68"/>
        <v/>
      </c>
      <c r="F1329" s="19"/>
      <c r="G1329" s="19"/>
      <c r="H1329" s="19"/>
      <c r="I1329" s="19"/>
      <c r="J1329" s="19"/>
      <c r="K1329" s="233"/>
      <c r="L1329" s="19"/>
    </row>
    <row r="1330" spans="1:12" ht="12" customHeight="1">
      <c r="A1330" s="219" cm="1">
        <f t="array" ref="A1330">IFERROR(INDEX('03.Muestra'!$B$8:$B$42,SMALL(IF("Página Web"='03.Muestra'!$D$8:$D$42,ROW('03.Muestra'!$B$8:$B$42)-MIN(ROW('03.Muestra'!$D$8:$D$42))+1,""),ROW()-1310)),"")</f>
        <v>20</v>
      </c>
      <c r="B1330" s="114" t="str" cm="1">
        <f t="array" ref="B1330">IFERROR(INDEX('03.Muestra'!$C$8:$C$42,SMALL(IF("Página Web"='03.Muestra'!$D$8:$D$42,ROW('03.Muestra'!$C$8:$C$42)-MIN(ROW('03.Muestra'!$D$8:$D$42))+1,""),ROW()-1310)),"")</f>
        <v>Accesibilidad</v>
      </c>
      <c r="C1330" s="114" t="str" cm="1">
        <f t="array" ref="C1330">IFERROR(INDEX('03.Muestra'!$F$8:$F$42,SMALL(IF("Página Web"='03.Muestra'!$D$8:$D$42,ROW('03.Muestra'!$F$8:$F$42)-MIN(ROW('03.Muestra'!$D$8:$D$42))+1,""),ROW()-1310)),"")</f>
        <v>https://www.crtm.es/accesibilidad</v>
      </c>
      <c r="D1330" s="130" t="s">
        <v>27</v>
      </c>
      <c r="E1330" s="107" t="str">
        <f t="shared" si="68"/>
        <v/>
      </c>
      <c r="F1330" s="19"/>
      <c r="G1330" s="19"/>
      <c r="H1330" s="19"/>
      <c r="I1330" s="19"/>
      <c r="J1330" s="19"/>
      <c r="K1330" s="233"/>
      <c r="L1330" s="19"/>
    </row>
    <row r="1331" spans="1:12" ht="12" customHeight="1">
      <c r="A1331" s="219" cm="1">
        <f t="array" ref="A1331">IFERROR(INDEX('03.Muestra'!$B$8:$B$42,SMALL(IF("Página Web"='03.Muestra'!$D$8:$D$42,ROW('03.Muestra'!$B$8:$B$42)-MIN(ROW('03.Muestra'!$D$8:$D$42))+1,""),ROW()-1310)),"")</f>
        <v>21</v>
      </c>
      <c r="B1331" s="114" t="str" cm="1">
        <f t="array" ref="B1331">IFERROR(INDEX('03.Muestra'!$C$8:$C$42,SMALL(IF("Página Web"='03.Muestra'!$D$8:$D$42,ROW('03.Muestra'!$C$8:$C$42)-MIN(ROW('03.Muestra'!$D$8:$D$42))+1,""),ROW()-1310)),"")</f>
        <v>Modo accesible</v>
      </c>
      <c r="C1331" s="114" t="str" cm="1">
        <f t="array" ref="C1331">IFERROR(INDEX('03.Muestra'!$F$8:$F$42,SMALL(IF("Página Web"='03.Muestra'!$D$8:$D$42,ROW('03.Muestra'!$F$8:$F$42)-MIN(ROW('03.Muestra'!$D$8:$D$42))+1,""),ROW()-1310)),"")</f>
        <v>https://www.crtm.es/</v>
      </c>
      <c r="D1331" s="130" t="s">
        <v>25</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ref="D1332:D1345" si="69">IF(AND(B1332&lt;&gt;"",C1332&lt;&gt;""),"N/T","")</f>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https://www.crtm.es/</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Red de metro</v>
      </c>
      <c r="C1350" s="114" t="str" cm="1">
        <f t="array" ref="C1350">IFERROR(INDEX('03.Muestra'!$F$8:$F$42,SMALL(IF("Página Web"='03.Muestra'!$D$8:$D$42,ROW('03.Muestra'!$F$8:$F$42)-MIN(ROW('03.Muestra'!$D$8:$D$42))+1,""),ROW()-1348)),"")</f>
        <v>https://www.crtm.es/tu-transporte-publico/metro/</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21</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Líneas de metro</v>
      </c>
      <c r="C1351" s="114" t="str" cm="1">
        <f t="array" ref="C1351">IFERROR(INDEX('03.Muestra'!$F$8:$F$42,SMALL(IF("Página Web"='03.Muestra'!$D$8:$D$42,ROW('03.Muestra'!$F$8:$F$42)-MIN(ROW('03.Muestra'!$D$8:$D$42))+1,""),ROW()-1348)),"")</f>
        <v>https://www.crtm.es/tu-transporte-publico/metro/lineas/4__1___</v>
      </c>
      <c r="D1351" s="130" t="s">
        <v>34</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Estaciones Aeropuerto T1-T2-T3</v>
      </c>
      <c r="C1352" s="114" t="str" cm="1">
        <f t="array" ref="C1352">IFERROR(INDEX('03.Muestra'!$F$8:$F$42,SMALL(IF("Página Web"='03.Muestra'!$D$8:$D$42,ROW('03.Muestra'!$F$8:$F$42)-MIN(ROW('03.Muestra'!$D$8:$D$42))+1,""),ROW()-1348)),"")</f>
        <v>https://www.crtm.es/tu-transporte-publico/metro/estaciones/4_159</v>
      </c>
      <c r="D1352" s="130" t="s">
        <v>34</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Muévete por Madrid</v>
      </c>
      <c r="C1353" s="114" t="str" cm="1">
        <f t="array" ref="C1353">IFERROR(INDEX('03.Muestra'!$F$8:$F$42,SMALL(IF("Página Web"='03.Muestra'!$D$8:$D$42,ROW('03.Muestra'!$F$8:$F$42)-MIN(ROW('03.Muestra'!$D$8:$D$42))+1,""),ROW()-1348)),"")</f>
        <v>https://www.crtm.es/muevete-por-madrid/</v>
      </c>
      <c r="D1353" s="130" t="s">
        <v>34</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conexiones con aeropuerto y principales estaciones</v>
      </c>
      <c r="C1354" s="114" t="str" cm="1">
        <f t="array" ref="C1354">IFERROR(INDEX('03.Muestra'!$F$8:$F$42,SMALL(IF("Página Web"='03.Muestra'!$D$8:$D$42,ROW('03.Muestra'!$F$8:$F$42)-MIN(ROW('03.Muestra'!$D$8:$D$42))+1,""),ROW()-1348)),"")</f>
        <v xml:space="preserve">https://www.crtm.es/muevete-por-madrid/conexiones-con-aeropuerto-y-principales-estaciones/ </v>
      </c>
      <c r="D1354" s="130" t="s">
        <v>34</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Atención desplazados Ucranianos</v>
      </c>
      <c r="C1355" s="114" t="str" cm="1">
        <f t="array" ref="C1355">IFERROR(INDEX('03.Muestra'!$F$8:$F$42,SMALL(IF("Página Web"='03.Muestra'!$D$8:$D$42,ROW('03.Muestra'!$F$8:$F$42)-MIN(ROW('03.Muestra'!$D$8:$D$42))+1,""),ROW()-1348)),"")</f>
        <v>https://www.crtm.es/atencion-desplazados-ucranianos/#item3</v>
      </c>
      <c r="D1355" s="130" t="s">
        <v>34</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Preguntas frecuentes (Tarjeta transporte público personal)</v>
      </c>
      <c r="C1356" s="114" t="str" cm="1">
        <f t="array" ref="C1356">IFERROR(INDEX('03.Muestra'!$F$8:$F$42,SMALL(IF("Página Web"='03.Muestra'!$D$8:$D$42,ROW('03.Muestra'!$F$8:$F$42)-MIN(ROW('03.Muestra'!$D$8:$D$42))+1,""),ROW()-1348)),"")</f>
        <v xml:space="preserve"> https://www.crtm.es/billetes-y-tarifas/tarjeta-transporte-publico/preguntas-frecuentes/#item23</v>
      </c>
      <c r="D1356" s="130" t="s">
        <v>34</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Billetes y abonos (Metro)</v>
      </c>
      <c r="C1357" s="114" t="str" cm="1">
        <f t="array" ref="C1357">IFERROR(INDEX('03.Muestra'!$F$8:$F$42,SMALL(IF("Página Web"='03.Muestra'!$D$8:$D$42,ROW('03.Muestra'!$F$8:$F$42)-MIN(ROW('03.Muestra'!$D$8:$D$42))+1,""),ROW()-1348)),"")</f>
        <v>https://www.crtm.es/billetes-y-tarifas/billetes-y-abonos/metro/?idPestana=1&amp;lang=#item10</v>
      </c>
      <c r="D1357" s="130" t="s">
        <v>34</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Billetes y tarifas (App)</v>
      </c>
      <c r="C1358" s="114" t="str" cm="1">
        <f t="array" ref="C1358">IFERROR(INDEX('03.Muestra'!$F$8:$F$42,SMALL(IF("Página Web"='03.Muestra'!$D$8:$D$42,ROW('03.Muestra'!$F$8:$F$42)-MIN(ROW('03.Muestra'!$D$8:$D$42))+1,""),ROW()-1348)),"")</f>
        <v>https://www.crtm.es/billetes-y-tarifas/apps/</v>
      </c>
      <c r="D1358" s="130" t="s">
        <v>34</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Atención al cliente</v>
      </c>
      <c r="C1359" s="114" t="str" cm="1">
        <f t="array" ref="C1359">IFERROR(INDEX('03.Muestra'!$F$8:$F$42,SMALL(IF("Página Web"='03.Muestra'!$D$8:$D$42,ROW('03.Muestra'!$F$8:$F$42)-MIN(ROW('03.Muestra'!$D$8:$D$42))+1,""),ROW()-1348)),"")</f>
        <v>https://www.crtm.es/atencion-al-cliente/</v>
      </c>
      <c r="D1359" s="130" t="s">
        <v>34</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Conócenos</v>
      </c>
      <c r="C1360" s="114" t="str" cm="1">
        <f t="array" ref="C1360">IFERROR(INDEX('03.Muestra'!$F$8:$F$42,SMALL(IF("Página Web"='03.Muestra'!$D$8:$D$42,ROW('03.Muestra'!$F$8:$F$42)-MIN(ROW('03.Muestra'!$D$8:$D$42))+1,""),ROW()-1348)),"")</f>
        <v>https://www.crtm.es/conocenos/#CentrodeDocumentacion</v>
      </c>
      <c r="D1360" s="130" t="s">
        <v>34</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Actualidad del servicio</v>
      </c>
      <c r="C1361" s="114" t="str" cm="1">
        <f t="array" ref="C1361">IFERROR(INDEX('03.Muestra'!$F$8:$F$42,SMALL(IF("Página Web"='03.Muestra'!$D$8:$D$42,ROW('03.Muestra'!$F$8:$F$42)-MIN(ROW('03.Muestra'!$D$8:$D$42))+1,""),ROW()-1348)),"")</f>
        <v>https://www.crtm.es/comunicacion/actualidad-del-servicio/?idPestana=1&amp;lang=es</v>
      </c>
      <c r="D1361" s="130" t="s">
        <v>34</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Galería de fotos</v>
      </c>
      <c r="C1362" s="114" t="str" cm="1">
        <f t="array" ref="C1362">IFERROR(INDEX('03.Muestra'!$F$8:$F$42,SMALL(IF("Página Web"='03.Muestra'!$D$8:$D$42,ROW('03.Muestra'!$F$8:$F$42)-MIN(ROW('03.Muestra'!$D$8:$D$42))+1,""),ROW()-1348)),"")</f>
        <v>https://www.crtm.es/comunicacion/multimedia/galeria-de-fotos/</v>
      </c>
      <c r="D1362" s="130" t="s">
        <v>34</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Mapa web</v>
      </c>
      <c r="C1363" s="114" t="str" cm="1">
        <f t="array" ref="C1363">IFERROR(INDEX('03.Muestra'!$F$8:$F$42,SMALL(IF("Página Web"='03.Muestra'!$D$8:$D$42,ROW('03.Muestra'!$F$8:$F$42)-MIN(ROW('03.Muestra'!$D$8:$D$42))+1,""),ROW()-1348)),"")</f>
        <v>https://www.crtm.es/mapa-web</v>
      </c>
      <c r="D1363" s="130" t="s">
        <v>34</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Protección de datos</v>
      </c>
      <c r="C1364" s="114" t="str" cm="1">
        <f t="array" ref="C1364">IFERROR(INDEX('03.Muestra'!$F$8:$F$42,SMALL(IF("Página Web"='03.Muestra'!$D$8:$D$42,ROW('03.Muestra'!$F$8:$F$42)-MIN(ROW('03.Muestra'!$D$8:$D$42))+1,""),ROW()-1348)),"")</f>
        <v>https://www.crtm.es/proteccion-de-datos</v>
      </c>
      <c r="D1364" s="130" t="s">
        <v>34</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Política de cookies</v>
      </c>
      <c r="C1365" s="114" t="str" cm="1">
        <f t="array" ref="C1365">IFERROR(INDEX('03.Muestra'!$F$8:$F$42,SMALL(IF("Página Web"='03.Muestra'!$D$8:$D$42,ROW('03.Muestra'!$F$8:$F$42)-MIN(ROW('03.Muestra'!$D$8:$D$42))+1,""),ROW()-1348)),"")</f>
        <v>https://www.crtm.es/politica-de-cookies</v>
      </c>
      <c r="D1365" s="130" t="s">
        <v>34</v>
      </c>
      <c r="E1365" s="107" t="str">
        <f t="shared" si="70"/>
        <v/>
      </c>
      <c r="F1365" s="19"/>
      <c r="G1365" s="19"/>
      <c r="H1365" s="19"/>
      <c r="I1365" s="19"/>
      <c r="J1365" s="19"/>
      <c r="K1365" s="233"/>
      <c r="L1365" s="19"/>
    </row>
    <row r="1366" spans="1:12" ht="12" customHeight="1">
      <c r="A1366" s="219" cm="1">
        <f t="array" ref="A1366">IFERROR(INDEX('03.Muestra'!$B$8:$B$42,SMALL(IF("Página Web"='03.Muestra'!$D$8:$D$42,ROW('03.Muestra'!$B$8:$B$42)-MIN(ROW('03.Muestra'!$D$8:$D$42))+1,""),ROW()-1348)),"")</f>
        <v>18</v>
      </c>
      <c r="B1366" s="114" t="str" cm="1">
        <f t="array" ref="B1366">IFERROR(INDEX('03.Muestra'!$C$8:$C$42,SMALL(IF("Página Web"='03.Muestra'!$D$8:$D$42,ROW('03.Muestra'!$C$8:$C$42)-MIN(ROW('03.Muestra'!$D$8:$D$42))+1,""),ROW()-1348)),"")</f>
        <v>Aviso Legal</v>
      </c>
      <c r="C1366" s="114" t="str" cm="1">
        <f t="array" ref="C1366">IFERROR(INDEX('03.Muestra'!$F$8:$F$42,SMALL(IF("Página Web"='03.Muestra'!$D$8:$D$42,ROW('03.Muestra'!$F$8:$F$42)-MIN(ROW('03.Muestra'!$D$8:$D$42))+1,""),ROW()-1348)),"")</f>
        <v>https://www.crtm.es/aviso-legal</v>
      </c>
      <c r="D1366" s="130" t="s">
        <v>34</v>
      </c>
      <c r="E1366" s="107" t="str">
        <f t="shared" si="70"/>
        <v/>
      </c>
      <c r="F1366" s="19"/>
      <c r="G1366" s="19"/>
      <c r="H1366" s="19"/>
      <c r="I1366" s="19"/>
      <c r="J1366" s="19"/>
      <c r="K1366" s="233"/>
      <c r="L1366" s="19"/>
    </row>
    <row r="1367" spans="1:12" ht="12" customHeight="1">
      <c r="A1367" s="219" cm="1">
        <f t="array" ref="A1367">IFERROR(INDEX('03.Muestra'!$B$8:$B$42,SMALL(IF("Página Web"='03.Muestra'!$D$8:$D$42,ROW('03.Muestra'!$B$8:$B$42)-MIN(ROW('03.Muestra'!$D$8:$D$42))+1,""),ROW()-1348)),"")</f>
        <v>19</v>
      </c>
      <c r="B1367" s="114" t="str" cm="1">
        <f t="array" ref="B1367">IFERROR(INDEX('03.Muestra'!$C$8:$C$42,SMALL(IF("Página Web"='03.Muestra'!$D$8:$D$42,ROW('03.Muestra'!$C$8:$C$42)-MIN(ROW('03.Muestra'!$D$8:$D$42))+1,""),ROW()-1348)),"")</f>
        <v>Normativa</v>
      </c>
      <c r="C1367" s="114" t="str" cm="1">
        <f t="array" ref="C1367">IFERROR(INDEX('03.Muestra'!$F$8:$F$42,SMALL(IF("Página Web"='03.Muestra'!$D$8:$D$42,ROW('03.Muestra'!$F$8:$F$42)-MIN(ROW('03.Muestra'!$D$8:$D$42))+1,""),ROW()-1348)),"")</f>
        <v>https://www.crtm.es/normativa</v>
      </c>
      <c r="D1367" s="130" t="s">
        <v>34</v>
      </c>
      <c r="E1367" s="107" t="str">
        <f t="shared" si="70"/>
        <v/>
      </c>
      <c r="F1367" s="19"/>
      <c r="G1367" s="19"/>
      <c r="H1367" s="19"/>
      <c r="I1367" s="19"/>
      <c r="J1367" s="19"/>
      <c r="K1367" s="233"/>
      <c r="L1367" s="19"/>
    </row>
    <row r="1368" spans="1:12" ht="12" customHeight="1">
      <c r="A1368" s="219" cm="1">
        <f t="array" ref="A1368">IFERROR(INDEX('03.Muestra'!$B$8:$B$42,SMALL(IF("Página Web"='03.Muestra'!$D$8:$D$42,ROW('03.Muestra'!$B$8:$B$42)-MIN(ROW('03.Muestra'!$D$8:$D$42))+1,""),ROW()-1348)),"")</f>
        <v>20</v>
      </c>
      <c r="B1368" s="114" t="str" cm="1">
        <f t="array" ref="B1368">IFERROR(INDEX('03.Muestra'!$C$8:$C$42,SMALL(IF("Página Web"='03.Muestra'!$D$8:$D$42,ROW('03.Muestra'!$C$8:$C$42)-MIN(ROW('03.Muestra'!$D$8:$D$42))+1,""),ROW()-1348)),"")</f>
        <v>Accesibilidad</v>
      </c>
      <c r="C1368" s="114" t="str" cm="1">
        <f t="array" ref="C1368">IFERROR(INDEX('03.Muestra'!$F$8:$F$42,SMALL(IF("Página Web"='03.Muestra'!$D$8:$D$42,ROW('03.Muestra'!$F$8:$F$42)-MIN(ROW('03.Muestra'!$D$8:$D$42))+1,""),ROW()-1348)),"")</f>
        <v>https://www.crtm.es/accesibilidad</v>
      </c>
      <c r="D1368" s="130" t="s">
        <v>34</v>
      </c>
      <c r="E1368" s="107" t="str">
        <f t="shared" si="70"/>
        <v/>
      </c>
      <c r="F1368" s="19"/>
      <c r="G1368" s="19"/>
      <c r="H1368" s="19"/>
      <c r="I1368" s="19"/>
      <c r="J1368" s="19"/>
      <c r="K1368" s="233"/>
      <c r="L1368" s="19"/>
    </row>
    <row r="1369" spans="1:12" ht="12" customHeight="1">
      <c r="A1369" s="219" cm="1">
        <f t="array" ref="A1369">IFERROR(INDEX('03.Muestra'!$B$8:$B$42,SMALL(IF("Página Web"='03.Muestra'!$D$8:$D$42,ROW('03.Muestra'!$B$8:$B$42)-MIN(ROW('03.Muestra'!$D$8:$D$42))+1,""),ROW()-1348)),"")</f>
        <v>21</v>
      </c>
      <c r="B1369" s="114" t="str" cm="1">
        <f t="array" ref="B1369">IFERROR(INDEX('03.Muestra'!$C$8:$C$42,SMALL(IF("Página Web"='03.Muestra'!$D$8:$D$42,ROW('03.Muestra'!$C$8:$C$42)-MIN(ROW('03.Muestra'!$D$8:$D$42))+1,""),ROW()-1348)),"")</f>
        <v>Modo accesible</v>
      </c>
      <c r="C1369" s="114" t="str" cm="1">
        <f t="array" ref="C1369">IFERROR(INDEX('03.Muestra'!$F$8:$F$42,SMALL(IF("Página Web"='03.Muestra'!$D$8:$D$42,ROW('03.Muestra'!$F$8:$F$42)-MIN(ROW('03.Muestra'!$D$8:$D$42))+1,""),ROW()-1348)),"")</f>
        <v>https://www.crtm.es/</v>
      </c>
      <c r="D1369" s="130" t="s">
        <v>34</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ref="D1370:D1383" si="71">IF(AND(B1370&lt;&gt;"",C1370&lt;&gt;""),"N/T","")</f>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https://www.crtm.es/</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Red de metro</v>
      </c>
      <c r="C1388" s="114" t="str" cm="1">
        <f t="array" ref="C1388">IFERROR(INDEX('03.Muestra'!$F$8:$F$42,SMALL(IF("Página Web"='03.Muestra'!$D$8:$D$42,ROW('03.Muestra'!$F$8:$F$42)-MIN(ROW('03.Muestra'!$D$8:$D$42))+1,""),ROW()-1386)),"")</f>
        <v>https://www.crtm.es/tu-transporte-publico/metro/</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21</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Líneas de metro</v>
      </c>
      <c r="C1389" s="114" t="str" cm="1">
        <f t="array" ref="C1389">IFERROR(INDEX('03.Muestra'!$F$8:$F$42,SMALL(IF("Página Web"='03.Muestra'!$D$8:$D$42,ROW('03.Muestra'!$F$8:$F$42)-MIN(ROW('03.Muestra'!$D$8:$D$42))+1,""),ROW()-1386)),"")</f>
        <v>https://www.crtm.es/tu-transporte-publico/metro/lineas/4__1___</v>
      </c>
      <c r="D1389" s="130" t="s">
        <v>25</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Estaciones Aeropuerto T1-T2-T3</v>
      </c>
      <c r="C1390" s="114" t="str" cm="1">
        <f t="array" ref="C1390">IFERROR(INDEX('03.Muestra'!$F$8:$F$42,SMALL(IF("Página Web"='03.Muestra'!$D$8:$D$42,ROW('03.Muestra'!$F$8:$F$42)-MIN(ROW('03.Muestra'!$D$8:$D$42))+1,""),ROW()-1386)),"")</f>
        <v>https://www.crtm.es/tu-transporte-publico/metro/estaciones/4_159</v>
      </c>
      <c r="D1390" s="130" t="s">
        <v>25</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Muévete por Madrid</v>
      </c>
      <c r="C1391" s="114" t="str" cm="1">
        <f t="array" ref="C1391">IFERROR(INDEX('03.Muestra'!$F$8:$F$42,SMALL(IF("Página Web"='03.Muestra'!$D$8:$D$42,ROW('03.Muestra'!$F$8:$F$42)-MIN(ROW('03.Muestra'!$D$8:$D$42))+1,""),ROW()-1386)),"")</f>
        <v>https://www.crtm.es/muevete-por-madrid/</v>
      </c>
      <c r="D1391" s="130" t="s">
        <v>25</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conexiones con aeropuerto y principales estaciones</v>
      </c>
      <c r="C1392" s="114" t="str" cm="1">
        <f t="array" ref="C1392">IFERROR(INDEX('03.Muestra'!$F$8:$F$42,SMALL(IF("Página Web"='03.Muestra'!$D$8:$D$42,ROW('03.Muestra'!$F$8:$F$42)-MIN(ROW('03.Muestra'!$D$8:$D$42))+1,""),ROW()-1386)),"")</f>
        <v xml:space="preserve">https://www.crtm.es/muevete-por-madrid/conexiones-con-aeropuerto-y-principales-estaciones/ </v>
      </c>
      <c r="D1392" s="130" t="s">
        <v>25</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Atención desplazados Ucranianos</v>
      </c>
      <c r="C1393" s="114" t="str" cm="1">
        <f t="array" ref="C1393">IFERROR(INDEX('03.Muestra'!$F$8:$F$42,SMALL(IF("Página Web"='03.Muestra'!$D$8:$D$42,ROW('03.Muestra'!$F$8:$F$42)-MIN(ROW('03.Muestra'!$D$8:$D$42))+1,""),ROW()-1386)),"")</f>
        <v>https://www.crtm.es/atencion-desplazados-ucranianos/#item3</v>
      </c>
      <c r="D1393" s="130" t="s">
        <v>25</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Preguntas frecuentes (Tarjeta transporte público personal)</v>
      </c>
      <c r="C1394" s="114" t="str" cm="1">
        <f t="array" ref="C1394">IFERROR(INDEX('03.Muestra'!$F$8:$F$42,SMALL(IF("Página Web"='03.Muestra'!$D$8:$D$42,ROW('03.Muestra'!$F$8:$F$42)-MIN(ROW('03.Muestra'!$D$8:$D$42))+1,""),ROW()-1386)),"")</f>
        <v xml:space="preserve"> https://www.crtm.es/billetes-y-tarifas/tarjeta-transporte-publico/preguntas-frecuentes/#item23</v>
      </c>
      <c r="D1394" s="130" t="s">
        <v>25</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Billetes y abonos (Metro)</v>
      </c>
      <c r="C1395" s="114" t="str" cm="1">
        <f t="array" ref="C1395">IFERROR(INDEX('03.Muestra'!$F$8:$F$42,SMALL(IF("Página Web"='03.Muestra'!$D$8:$D$42,ROW('03.Muestra'!$F$8:$F$42)-MIN(ROW('03.Muestra'!$D$8:$D$42))+1,""),ROW()-1386)),"")</f>
        <v>https://www.crtm.es/billetes-y-tarifas/billetes-y-abonos/metro/?idPestana=1&amp;lang=#item10</v>
      </c>
      <c r="D1395" s="130" t="s">
        <v>25</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Billetes y tarifas (App)</v>
      </c>
      <c r="C1396" s="114" t="str" cm="1">
        <f t="array" ref="C1396">IFERROR(INDEX('03.Muestra'!$F$8:$F$42,SMALL(IF("Página Web"='03.Muestra'!$D$8:$D$42,ROW('03.Muestra'!$F$8:$F$42)-MIN(ROW('03.Muestra'!$D$8:$D$42))+1,""),ROW()-1386)),"")</f>
        <v>https://www.crtm.es/billetes-y-tarifas/apps/</v>
      </c>
      <c r="D1396" s="130" t="s">
        <v>25</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Atención al cliente</v>
      </c>
      <c r="C1397" s="114" t="str" cm="1">
        <f t="array" ref="C1397">IFERROR(INDEX('03.Muestra'!$F$8:$F$42,SMALL(IF("Página Web"='03.Muestra'!$D$8:$D$42,ROW('03.Muestra'!$F$8:$F$42)-MIN(ROW('03.Muestra'!$D$8:$D$42))+1,""),ROW()-1386)),"")</f>
        <v>https://www.crtm.es/atencion-al-cliente/</v>
      </c>
      <c r="D1397" s="130" t="s">
        <v>25</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Conócenos</v>
      </c>
      <c r="C1398" s="114" t="str" cm="1">
        <f t="array" ref="C1398">IFERROR(INDEX('03.Muestra'!$F$8:$F$42,SMALL(IF("Página Web"='03.Muestra'!$D$8:$D$42,ROW('03.Muestra'!$F$8:$F$42)-MIN(ROW('03.Muestra'!$D$8:$D$42))+1,""),ROW()-1386)),"")</f>
        <v>https://www.crtm.es/conocenos/#CentrodeDocumentacion</v>
      </c>
      <c r="D1398" s="130" t="s">
        <v>25</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Actualidad del servicio</v>
      </c>
      <c r="C1399" s="114" t="str" cm="1">
        <f t="array" ref="C1399">IFERROR(INDEX('03.Muestra'!$F$8:$F$42,SMALL(IF("Página Web"='03.Muestra'!$D$8:$D$42,ROW('03.Muestra'!$F$8:$F$42)-MIN(ROW('03.Muestra'!$D$8:$D$42))+1,""),ROW()-1386)),"")</f>
        <v>https://www.crtm.es/comunicacion/actualidad-del-servicio/?idPestana=1&amp;lang=es</v>
      </c>
      <c r="D1399" s="130" t="s">
        <v>25</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Galería de fotos</v>
      </c>
      <c r="C1400" s="114" t="str" cm="1">
        <f t="array" ref="C1400">IFERROR(INDEX('03.Muestra'!$F$8:$F$42,SMALL(IF("Página Web"='03.Muestra'!$D$8:$D$42,ROW('03.Muestra'!$F$8:$F$42)-MIN(ROW('03.Muestra'!$D$8:$D$42))+1,""),ROW()-1386)),"")</f>
        <v>https://www.crtm.es/comunicacion/multimedia/galeria-de-fotos/</v>
      </c>
      <c r="D1400" s="130" t="s">
        <v>25</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Mapa web</v>
      </c>
      <c r="C1401" s="114" t="str" cm="1">
        <f t="array" ref="C1401">IFERROR(INDEX('03.Muestra'!$F$8:$F$42,SMALL(IF("Página Web"='03.Muestra'!$D$8:$D$42,ROW('03.Muestra'!$F$8:$F$42)-MIN(ROW('03.Muestra'!$D$8:$D$42))+1,""),ROW()-1386)),"")</f>
        <v>https://www.crtm.es/mapa-web</v>
      </c>
      <c r="D1401" s="130" t="s">
        <v>25</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Protección de datos</v>
      </c>
      <c r="C1402" s="114" t="str" cm="1">
        <f t="array" ref="C1402">IFERROR(INDEX('03.Muestra'!$F$8:$F$42,SMALL(IF("Página Web"='03.Muestra'!$D$8:$D$42,ROW('03.Muestra'!$F$8:$F$42)-MIN(ROW('03.Muestra'!$D$8:$D$42))+1,""),ROW()-1386)),"")</f>
        <v>https://www.crtm.es/proteccion-de-datos</v>
      </c>
      <c r="D1402" s="130" t="s">
        <v>25</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Política de cookies</v>
      </c>
      <c r="C1403" s="114" t="str" cm="1">
        <f t="array" ref="C1403">IFERROR(INDEX('03.Muestra'!$F$8:$F$42,SMALL(IF("Página Web"='03.Muestra'!$D$8:$D$42,ROW('03.Muestra'!$F$8:$F$42)-MIN(ROW('03.Muestra'!$D$8:$D$42))+1,""),ROW()-1386)),"")</f>
        <v>https://www.crtm.es/politica-de-cookies</v>
      </c>
      <c r="D1403" s="130" t="s">
        <v>25</v>
      </c>
      <c r="E1403" s="107" t="str">
        <f t="shared" si="72"/>
        <v/>
      </c>
      <c r="F1403" s="19"/>
      <c r="G1403" s="19"/>
      <c r="H1403" s="19"/>
      <c r="I1403" s="19"/>
      <c r="J1403" s="19"/>
      <c r="K1403" s="233"/>
      <c r="L1403" s="19"/>
    </row>
    <row r="1404" spans="1:12" ht="12" customHeight="1">
      <c r="A1404" s="219" cm="1">
        <f t="array" ref="A1404">IFERROR(INDEX('03.Muestra'!$B$8:$B$42,SMALL(IF("Página Web"='03.Muestra'!$D$8:$D$42,ROW('03.Muestra'!$B$8:$B$42)-MIN(ROW('03.Muestra'!$D$8:$D$42))+1,""),ROW()-1386)),"")</f>
        <v>18</v>
      </c>
      <c r="B1404" s="114" t="str" cm="1">
        <f t="array" ref="B1404">IFERROR(INDEX('03.Muestra'!$C$8:$C$42,SMALL(IF("Página Web"='03.Muestra'!$D$8:$D$42,ROW('03.Muestra'!$C$8:$C$42)-MIN(ROW('03.Muestra'!$D$8:$D$42))+1,""),ROW()-1386)),"")</f>
        <v>Aviso Legal</v>
      </c>
      <c r="C1404" s="114" t="str" cm="1">
        <f t="array" ref="C1404">IFERROR(INDEX('03.Muestra'!$F$8:$F$42,SMALL(IF("Página Web"='03.Muestra'!$D$8:$D$42,ROW('03.Muestra'!$F$8:$F$42)-MIN(ROW('03.Muestra'!$D$8:$D$42))+1,""),ROW()-1386)),"")</f>
        <v>https://www.crtm.es/aviso-legal</v>
      </c>
      <c r="D1404" s="130" t="s">
        <v>25</v>
      </c>
      <c r="E1404" s="107" t="str">
        <f t="shared" si="72"/>
        <v/>
      </c>
      <c r="F1404" s="19"/>
      <c r="G1404" s="19"/>
      <c r="H1404" s="19"/>
      <c r="I1404" s="19"/>
      <c r="J1404" s="19"/>
      <c r="K1404" s="233"/>
      <c r="L1404" s="19"/>
    </row>
    <row r="1405" spans="1:12" ht="12" customHeight="1">
      <c r="A1405" s="219" cm="1">
        <f t="array" ref="A1405">IFERROR(INDEX('03.Muestra'!$B$8:$B$42,SMALL(IF("Página Web"='03.Muestra'!$D$8:$D$42,ROW('03.Muestra'!$B$8:$B$42)-MIN(ROW('03.Muestra'!$D$8:$D$42))+1,""),ROW()-1386)),"")</f>
        <v>19</v>
      </c>
      <c r="B1405" s="114" t="str" cm="1">
        <f t="array" ref="B1405">IFERROR(INDEX('03.Muestra'!$C$8:$C$42,SMALL(IF("Página Web"='03.Muestra'!$D$8:$D$42,ROW('03.Muestra'!$C$8:$C$42)-MIN(ROW('03.Muestra'!$D$8:$D$42))+1,""),ROW()-1386)),"")</f>
        <v>Normativa</v>
      </c>
      <c r="C1405" s="114" t="str" cm="1">
        <f t="array" ref="C1405">IFERROR(INDEX('03.Muestra'!$F$8:$F$42,SMALL(IF("Página Web"='03.Muestra'!$D$8:$D$42,ROW('03.Muestra'!$F$8:$F$42)-MIN(ROW('03.Muestra'!$D$8:$D$42))+1,""),ROW()-1386)),"")</f>
        <v>https://www.crtm.es/normativa</v>
      </c>
      <c r="D1405" s="130" t="s">
        <v>25</v>
      </c>
      <c r="E1405" s="107" t="str">
        <f t="shared" si="72"/>
        <v/>
      </c>
      <c r="F1405" s="19"/>
      <c r="G1405" s="19"/>
      <c r="H1405" s="19"/>
      <c r="I1405" s="19"/>
      <c r="J1405" s="19"/>
      <c r="K1405" s="233"/>
      <c r="L1405" s="19"/>
    </row>
    <row r="1406" spans="1:12" ht="12" customHeight="1">
      <c r="A1406" s="219" cm="1">
        <f t="array" ref="A1406">IFERROR(INDEX('03.Muestra'!$B$8:$B$42,SMALL(IF("Página Web"='03.Muestra'!$D$8:$D$42,ROW('03.Muestra'!$B$8:$B$42)-MIN(ROW('03.Muestra'!$D$8:$D$42))+1,""),ROW()-1386)),"")</f>
        <v>20</v>
      </c>
      <c r="B1406" s="114" t="str" cm="1">
        <f t="array" ref="B1406">IFERROR(INDEX('03.Muestra'!$C$8:$C$42,SMALL(IF("Página Web"='03.Muestra'!$D$8:$D$42,ROW('03.Muestra'!$C$8:$C$42)-MIN(ROW('03.Muestra'!$D$8:$D$42))+1,""),ROW()-1386)),"")</f>
        <v>Accesibilidad</v>
      </c>
      <c r="C1406" s="114" t="str" cm="1">
        <f t="array" ref="C1406">IFERROR(INDEX('03.Muestra'!$F$8:$F$42,SMALL(IF("Página Web"='03.Muestra'!$D$8:$D$42,ROW('03.Muestra'!$F$8:$F$42)-MIN(ROW('03.Muestra'!$D$8:$D$42))+1,""),ROW()-1386)),"")</f>
        <v>https://www.crtm.es/accesibilidad</v>
      </c>
      <c r="D1406" s="130" t="s">
        <v>25</v>
      </c>
      <c r="E1406" s="107" t="str">
        <f t="shared" si="72"/>
        <v/>
      </c>
      <c r="F1406" s="19"/>
      <c r="G1406" s="19"/>
      <c r="H1406" s="19"/>
      <c r="I1406" s="19"/>
      <c r="J1406" s="19"/>
      <c r="K1406" s="233"/>
      <c r="L1406" s="19"/>
    </row>
    <row r="1407" spans="1:12" ht="12" customHeight="1">
      <c r="A1407" s="219" cm="1">
        <f t="array" ref="A1407">IFERROR(INDEX('03.Muestra'!$B$8:$B$42,SMALL(IF("Página Web"='03.Muestra'!$D$8:$D$42,ROW('03.Muestra'!$B$8:$B$42)-MIN(ROW('03.Muestra'!$D$8:$D$42))+1,""),ROW()-1386)),"")</f>
        <v>21</v>
      </c>
      <c r="B1407" s="114" t="str" cm="1">
        <f t="array" ref="B1407">IFERROR(INDEX('03.Muestra'!$C$8:$C$42,SMALL(IF("Página Web"='03.Muestra'!$D$8:$D$42,ROW('03.Muestra'!$C$8:$C$42)-MIN(ROW('03.Muestra'!$D$8:$D$42))+1,""),ROW()-1386)),"")</f>
        <v>Modo accesible</v>
      </c>
      <c r="C1407" s="114" t="str" cm="1">
        <f t="array" ref="C1407">IFERROR(INDEX('03.Muestra'!$F$8:$F$42,SMALL(IF("Página Web"='03.Muestra'!$D$8:$D$42,ROW('03.Muestra'!$F$8:$F$42)-MIN(ROW('03.Muestra'!$D$8:$D$42))+1,""),ROW()-1386)),"")</f>
        <v>https://www.crtm.es/</v>
      </c>
      <c r="D1407" s="130" t="s">
        <v>25</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ref="D1408:D1421" si="73">IF(AND(B1408&lt;&gt;"",C1408&lt;&gt;""),"N/T","")</f>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https://www.crtm.es/</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Red de metro</v>
      </c>
      <c r="C1426" s="114" t="str" cm="1">
        <f t="array" ref="C1426">IFERROR(INDEX('03.Muestra'!$F$8:$F$42,SMALL(IF("Página Web"='03.Muestra'!$D$8:$D$42,ROW('03.Muestra'!$F$8:$F$42)-MIN(ROW('03.Muestra'!$D$8:$D$42))+1,""),ROW()-1424)),"")</f>
        <v>https://www.crtm.es/tu-transporte-publico/metro/</v>
      </c>
      <c r="D1426" s="130" t="s">
        <v>34</v>
      </c>
      <c r="E1426" s="107" t="str">
        <f t="shared" si="74"/>
        <v/>
      </c>
      <c r="F1426" s="120">
        <f ca="1">COUNTIF($D1425:INDIRECT("$D" &amp;  SUM(ROW()-1,'03.Muestra'!$D$45)-1),F1425)</f>
        <v>0</v>
      </c>
      <c r="G1426" s="120">
        <f ca="1">COUNTIF($D1425:INDIRECT("$D" &amp;  SUM(ROW()-1,'03.Muestra'!$D$45)-1),G1425)</f>
        <v>0</v>
      </c>
      <c r="H1426" s="120">
        <f ca="1">COUNTIF($D1425:INDIRECT("$D" &amp;  SUM(ROW()-1,'03.Muestra'!$D$45)-1),H1425)</f>
        <v>21</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Líneas de metro</v>
      </c>
      <c r="C1427" s="114" t="str" cm="1">
        <f t="array" ref="C1427">IFERROR(INDEX('03.Muestra'!$F$8:$F$42,SMALL(IF("Página Web"='03.Muestra'!$D$8:$D$42,ROW('03.Muestra'!$F$8:$F$42)-MIN(ROW('03.Muestra'!$D$8:$D$42))+1,""),ROW()-1424)),"")</f>
        <v>https://www.crtm.es/tu-transporte-publico/metro/lineas/4__1___</v>
      </c>
      <c r="D1427" s="130" t="s">
        <v>34</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Estaciones Aeropuerto T1-T2-T3</v>
      </c>
      <c r="C1428" s="114" t="str" cm="1">
        <f t="array" ref="C1428">IFERROR(INDEX('03.Muestra'!$F$8:$F$42,SMALL(IF("Página Web"='03.Muestra'!$D$8:$D$42,ROW('03.Muestra'!$F$8:$F$42)-MIN(ROW('03.Muestra'!$D$8:$D$42))+1,""),ROW()-1424)),"")</f>
        <v>https://www.crtm.es/tu-transporte-publico/metro/estaciones/4_159</v>
      </c>
      <c r="D1428" s="130" t="s">
        <v>34</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Muévete por Madrid</v>
      </c>
      <c r="C1429" s="114" t="str" cm="1">
        <f t="array" ref="C1429">IFERROR(INDEX('03.Muestra'!$F$8:$F$42,SMALL(IF("Página Web"='03.Muestra'!$D$8:$D$42,ROW('03.Muestra'!$F$8:$F$42)-MIN(ROW('03.Muestra'!$D$8:$D$42))+1,""),ROW()-1424)),"")</f>
        <v>https://www.crtm.es/muevete-por-madrid/</v>
      </c>
      <c r="D1429" s="130" t="s">
        <v>34</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conexiones con aeropuerto y principales estaciones</v>
      </c>
      <c r="C1430" s="114" t="str" cm="1">
        <f t="array" ref="C1430">IFERROR(INDEX('03.Muestra'!$F$8:$F$42,SMALL(IF("Página Web"='03.Muestra'!$D$8:$D$42,ROW('03.Muestra'!$F$8:$F$42)-MIN(ROW('03.Muestra'!$D$8:$D$42))+1,""),ROW()-1424)),"")</f>
        <v xml:space="preserve">https://www.crtm.es/muevete-por-madrid/conexiones-con-aeropuerto-y-principales-estaciones/ </v>
      </c>
      <c r="D1430" s="130" t="s">
        <v>34</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Atención desplazados Ucranianos</v>
      </c>
      <c r="C1431" s="114" t="str" cm="1">
        <f t="array" ref="C1431">IFERROR(INDEX('03.Muestra'!$F$8:$F$42,SMALL(IF("Página Web"='03.Muestra'!$D$8:$D$42,ROW('03.Muestra'!$F$8:$F$42)-MIN(ROW('03.Muestra'!$D$8:$D$42))+1,""),ROW()-1424)),"")</f>
        <v>https://www.crtm.es/atencion-desplazados-ucranianos/#item3</v>
      </c>
      <c r="D1431" s="130" t="s">
        <v>34</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Preguntas frecuentes (Tarjeta transporte público personal)</v>
      </c>
      <c r="C1432" s="114" t="str" cm="1">
        <f t="array" ref="C1432">IFERROR(INDEX('03.Muestra'!$F$8:$F$42,SMALL(IF("Página Web"='03.Muestra'!$D$8:$D$42,ROW('03.Muestra'!$F$8:$F$42)-MIN(ROW('03.Muestra'!$D$8:$D$42))+1,""),ROW()-1424)),"")</f>
        <v xml:space="preserve"> https://www.crtm.es/billetes-y-tarifas/tarjeta-transporte-publico/preguntas-frecuentes/#item23</v>
      </c>
      <c r="D1432" s="130" t="s">
        <v>34</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Billetes y abonos (Metro)</v>
      </c>
      <c r="C1433" s="114" t="str" cm="1">
        <f t="array" ref="C1433">IFERROR(INDEX('03.Muestra'!$F$8:$F$42,SMALL(IF("Página Web"='03.Muestra'!$D$8:$D$42,ROW('03.Muestra'!$F$8:$F$42)-MIN(ROW('03.Muestra'!$D$8:$D$42))+1,""),ROW()-1424)),"")</f>
        <v>https://www.crtm.es/billetes-y-tarifas/billetes-y-abonos/metro/?idPestana=1&amp;lang=#item10</v>
      </c>
      <c r="D1433" s="130" t="s">
        <v>34</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Billetes y tarifas (App)</v>
      </c>
      <c r="C1434" s="114" t="str" cm="1">
        <f t="array" ref="C1434">IFERROR(INDEX('03.Muestra'!$F$8:$F$42,SMALL(IF("Página Web"='03.Muestra'!$D$8:$D$42,ROW('03.Muestra'!$F$8:$F$42)-MIN(ROW('03.Muestra'!$D$8:$D$42))+1,""),ROW()-1424)),"")</f>
        <v>https://www.crtm.es/billetes-y-tarifas/apps/</v>
      </c>
      <c r="D1434" s="130" t="s">
        <v>34</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Atención al cliente</v>
      </c>
      <c r="C1435" s="114" t="str" cm="1">
        <f t="array" ref="C1435">IFERROR(INDEX('03.Muestra'!$F$8:$F$42,SMALL(IF("Página Web"='03.Muestra'!$D$8:$D$42,ROW('03.Muestra'!$F$8:$F$42)-MIN(ROW('03.Muestra'!$D$8:$D$42))+1,""),ROW()-1424)),"")</f>
        <v>https://www.crtm.es/atencion-al-cliente/</v>
      </c>
      <c r="D1435" s="130" t="s">
        <v>34</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Conócenos</v>
      </c>
      <c r="C1436" s="114" t="str" cm="1">
        <f t="array" ref="C1436">IFERROR(INDEX('03.Muestra'!$F$8:$F$42,SMALL(IF("Página Web"='03.Muestra'!$D$8:$D$42,ROW('03.Muestra'!$F$8:$F$42)-MIN(ROW('03.Muestra'!$D$8:$D$42))+1,""),ROW()-1424)),"")</f>
        <v>https://www.crtm.es/conocenos/#CentrodeDocumentacion</v>
      </c>
      <c r="D1436" s="130" t="s">
        <v>34</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Actualidad del servicio</v>
      </c>
      <c r="C1437" s="114" t="str" cm="1">
        <f t="array" ref="C1437">IFERROR(INDEX('03.Muestra'!$F$8:$F$42,SMALL(IF("Página Web"='03.Muestra'!$D$8:$D$42,ROW('03.Muestra'!$F$8:$F$42)-MIN(ROW('03.Muestra'!$D$8:$D$42))+1,""),ROW()-1424)),"")</f>
        <v>https://www.crtm.es/comunicacion/actualidad-del-servicio/?idPestana=1&amp;lang=es</v>
      </c>
      <c r="D1437" s="130" t="s">
        <v>34</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Galería de fotos</v>
      </c>
      <c r="C1438" s="114" t="str" cm="1">
        <f t="array" ref="C1438">IFERROR(INDEX('03.Muestra'!$F$8:$F$42,SMALL(IF("Página Web"='03.Muestra'!$D$8:$D$42,ROW('03.Muestra'!$F$8:$F$42)-MIN(ROW('03.Muestra'!$D$8:$D$42))+1,""),ROW()-1424)),"")</f>
        <v>https://www.crtm.es/comunicacion/multimedia/galeria-de-fotos/</v>
      </c>
      <c r="D1438" s="130" t="s">
        <v>34</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Mapa web</v>
      </c>
      <c r="C1439" s="114" t="str" cm="1">
        <f t="array" ref="C1439">IFERROR(INDEX('03.Muestra'!$F$8:$F$42,SMALL(IF("Página Web"='03.Muestra'!$D$8:$D$42,ROW('03.Muestra'!$F$8:$F$42)-MIN(ROW('03.Muestra'!$D$8:$D$42))+1,""),ROW()-1424)),"")</f>
        <v>https://www.crtm.es/mapa-web</v>
      </c>
      <c r="D1439" s="130" t="s">
        <v>34</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Protección de datos</v>
      </c>
      <c r="C1440" s="114" t="str" cm="1">
        <f t="array" ref="C1440">IFERROR(INDEX('03.Muestra'!$F$8:$F$42,SMALL(IF("Página Web"='03.Muestra'!$D$8:$D$42,ROW('03.Muestra'!$F$8:$F$42)-MIN(ROW('03.Muestra'!$D$8:$D$42))+1,""),ROW()-1424)),"")</f>
        <v>https://www.crtm.es/proteccion-de-datos</v>
      </c>
      <c r="D1440" s="130" t="s">
        <v>34</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Política de cookies</v>
      </c>
      <c r="C1441" s="114" t="str" cm="1">
        <f t="array" ref="C1441">IFERROR(INDEX('03.Muestra'!$F$8:$F$42,SMALL(IF("Página Web"='03.Muestra'!$D$8:$D$42,ROW('03.Muestra'!$F$8:$F$42)-MIN(ROW('03.Muestra'!$D$8:$D$42))+1,""),ROW()-1424)),"")</f>
        <v>https://www.crtm.es/politica-de-cookies</v>
      </c>
      <c r="D1441" s="130" t="s">
        <v>34</v>
      </c>
      <c r="E1441" s="107" t="str">
        <f t="shared" si="74"/>
        <v/>
      </c>
      <c r="F1441" s="19"/>
      <c r="G1441" s="19"/>
      <c r="H1441" s="19"/>
      <c r="I1441" s="19"/>
      <c r="J1441" s="19"/>
      <c r="K1441" s="233"/>
      <c r="L1441" s="19"/>
    </row>
    <row r="1442" spans="1:12" ht="12" customHeight="1">
      <c r="A1442" s="219" cm="1">
        <f t="array" ref="A1442">IFERROR(INDEX('03.Muestra'!$B$8:$B$42,SMALL(IF("Página Web"='03.Muestra'!$D$8:$D$42,ROW('03.Muestra'!$B$8:$B$42)-MIN(ROW('03.Muestra'!$D$8:$D$42))+1,""),ROW()-1424)),"")</f>
        <v>18</v>
      </c>
      <c r="B1442" s="114" t="str" cm="1">
        <f t="array" ref="B1442">IFERROR(INDEX('03.Muestra'!$C$8:$C$42,SMALL(IF("Página Web"='03.Muestra'!$D$8:$D$42,ROW('03.Muestra'!$C$8:$C$42)-MIN(ROW('03.Muestra'!$D$8:$D$42))+1,""),ROW()-1424)),"")</f>
        <v>Aviso Legal</v>
      </c>
      <c r="C1442" s="114" t="str" cm="1">
        <f t="array" ref="C1442">IFERROR(INDEX('03.Muestra'!$F$8:$F$42,SMALL(IF("Página Web"='03.Muestra'!$D$8:$D$42,ROW('03.Muestra'!$F$8:$F$42)-MIN(ROW('03.Muestra'!$D$8:$D$42))+1,""),ROW()-1424)),"")</f>
        <v>https://www.crtm.es/aviso-legal</v>
      </c>
      <c r="D1442" s="130" t="s">
        <v>34</v>
      </c>
      <c r="E1442" s="107" t="str">
        <f t="shared" si="74"/>
        <v/>
      </c>
      <c r="F1442" s="19"/>
      <c r="G1442" s="19"/>
      <c r="H1442" s="19"/>
      <c r="I1442" s="19"/>
      <c r="J1442" s="19"/>
      <c r="K1442" s="233"/>
      <c r="L1442" s="19"/>
    </row>
    <row r="1443" spans="1:12" ht="12" customHeight="1">
      <c r="A1443" s="219" cm="1">
        <f t="array" ref="A1443">IFERROR(INDEX('03.Muestra'!$B$8:$B$42,SMALL(IF("Página Web"='03.Muestra'!$D$8:$D$42,ROW('03.Muestra'!$B$8:$B$42)-MIN(ROW('03.Muestra'!$D$8:$D$42))+1,""),ROW()-1424)),"")</f>
        <v>19</v>
      </c>
      <c r="B1443" s="114" t="str" cm="1">
        <f t="array" ref="B1443">IFERROR(INDEX('03.Muestra'!$C$8:$C$42,SMALL(IF("Página Web"='03.Muestra'!$D$8:$D$42,ROW('03.Muestra'!$C$8:$C$42)-MIN(ROW('03.Muestra'!$D$8:$D$42))+1,""),ROW()-1424)),"")</f>
        <v>Normativa</v>
      </c>
      <c r="C1443" s="114" t="str" cm="1">
        <f t="array" ref="C1443">IFERROR(INDEX('03.Muestra'!$F$8:$F$42,SMALL(IF("Página Web"='03.Muestra'!$D$8:$D$42,ROW('03.Muestra'!$F$8:$F$42)-MIN(ROW('03.Muestra'!$D$8:$D$42))+1,""),ROW()-1424)),"")</f>
        <v>https://www.crtm.es/normativa</v>
      </c>
      <c r="D1443" s="130" t="s">
        <v>34</v>
      </c>
      <c r="E1443" s="107" t="str">
        <f t="shared" si="74"/>
        <v/>
      </c>
      <c r="F1443" s="19"/>
      <c r="G1443" s="19"/>
      <c r="H1443" s="19"/>
      <c r="I1443" s="19"/>
      <c r="J1443" s="19"/>
      <c r="K1443" s="233"/>
      <c r="L1443" s="19"/>
    </row>
    <row r="1444" spans="1:12" ht="12" customHeight="1">
      <c r="A1444" s="219" cm="1">
        <f t="array" ref="A1444">IFERROR(INDEX('03.Muestra'!$B$8:$B$42,SMALL(IF("Página Web"='03.Muestra'!$D$8:$D$42,ROW('03.Muestra'!$B$8:$B$42)-MIN(ROW('03.Muestra'!$D$8:$D$42))+1,""),ROW()-1424)),"")</f>
        <v>20</v>
      </c>
      <c r="B1444" s="114" t="str" cm="1">
        <f t="array" ref="B1444">IFERROR(INDEX('03.Muestra'!$C$8:$C$42,SMALL(IF("Página Web"='03.Muestra'!$D$8:$D$42,ROW('03.Muestra'!$C$8:$C$42)-MIN(ROW('03.Muestra'!$D$8:$D$42))+1,""),ROW()-1424)),"")</f>
        <v>Accesibilidad</v>
      </c>
      <c r="C1444" s="114" t="str" cm="1">
        <f t="array" ref="C1444">IFERROR(INDEX('03.Muestra'!$F$8:$F$42,SMALL(IF("Página Web"='03.Muestra'!$D$8:$D$42,ROW('03.Muestra'!$F$8:$F$42)-MIN(ROW('03.Muestra'!$D$8:$D$42))+1,""),ROW()-1424)),"")</f>
        <v>https://www.crtm.es/accesibilidad</v>
      </c>
      <c r="D1444" s="130" t="s">
        <v>34</v>
      </c>
      <c r="E1444" s="107" t="str">
        <f t="shared" si="74"/>
        <v/>
      </c>
      <c r="F1444" s="19"/>
      <c r="G1444" s="19"/>
      <c r="H1444" s="19"/>
      <c r="I1444" s="19"/>
      <c r="J1444" s="19"/>
      <c r="K1444" s="233"/>
      <c r="L1444" s="19"/>
    </row>
    <row r="1445" spans="1:12" ht="12" customHeight="1">
      <c r="A1445" s="219" cm="1">
        <f t="array" ref="A1445">IFERROR(INDEX('03.Muestra'!$B$8:$B$42,SMALL(IF("Página Web"='03.Muestra'!$D$8:$D$42,ROW('03.Muestra'!$B$8:$B$42)-MIN(ROW('03.Muestra'!$D$8:$D$42))+1,""),ROW()-1424)),"")</f>
        <v>21</v>
      </c>
      <c r="B1445" s="114" t="str" cm="1">
        <f t="array" ref="B1445">IFERROR(INDEX('03.Muestra'!$C$8:$C$42,SMALL(IF("Página Web"='03.Muestra'!$D$8:$D$42,ROW('03.Muestra'!$C$8:$C$42)-MIN(ROW('03.Muestra'!$D$8:$D$42))+1,""),ROW()-1424)),"")</f>
        <v>Modo accesible</v>
      </c>
      <c r="C1445" s="114" t="str" cm="1">
        <f t="array" ref="C1445">IFERROR(INDEX('03.Muestra'!$F$8:$F$42,SMALL(IF("Página Web"='03.Muestra'!$D$8:$D$42,ROW('03.Muestra'!$F$8:$F$42)-MIN(ROW('03.Muestra'!$D$8:$D$42))+1,""),ROW()-1424)),"")</f>
        <v>https://www.crtm.es/</v>
      </c>
      <c r="D1445" s="130" t="s">
        <v>34</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ref="D1446:D1459" si="75">IF(AND(B1446&lt;&gt;"",C1446&lt;&gt;""),"N/T","")</f>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https://www.crtm.es/</v>
      </c>
      <c r="D1463" s="130" t="s">
        <v>25</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Red de metro</v>
      </c>
      <c r="C1464" s="114" t="str" cm="1">
        <f t="array" ref="C1464">IFERROR(INDEX('03.Muestra'!$F$8:$F$42,SMALL(IF("Página Web"='03.Muestra'!$D$8:$D$42,ROW('03.Muestra'!$F$8:$F$42)-MIN(ROW('03.Muestra'!$D$8:$D$42))+1,""),ROW()-1462)),"")</f>
        <v>https://www.crtm.es/tu-transporte-publico/metro/</v>
      </c>
      <c r="D1464" s="130" t="s">
        <v>25</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21</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Líneas de metro</v>
      </c>
      <c r="C1465" s="114" t="str" cm="1">
        <f t="array" ref="C1465">IFERROR(INDEX('03.Muestra'!$F$8:$F$42,SMALL(IF("Página Web"='03.Muestra'!$D$8:$D$42,ROW('03.Muestra'!$F$8:$F$42)-MIN(ROW('03.Muestra'!$D$8:$D$42))+1,""),ROW()-1462)),"")</f>
        <v>https://www.crtm.es/tu-transporte-publico/metro/lineas/4__1___</v>
      </c>
      <c r="D1465" s="130" t="s">
        <v>25</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Estaciones Aeropuerto T1-T2-T3</v>
      </c>
      <c r="C1466" s="114" t="str" cm="1">
        <f t="array" ref="C1466">IFERROR(INDEX('03.Muestra'!$F$8:$F$42,SMALL(IF("Página Web"='03.Muestra'!$D$8:$D$42,ROW('03.Muestra'!$F$8:$F$42)-MIN(ROW('03.Muestra'!$D$8:$D$42))+1,""),ROW()-1462)),"")</f>
        <v>https://www.crtm.es/tu-transporte-publico/metro/estaciones/4_159</v>
      </c>
      <c r="D1466" s="130" t="s">
        <v>25</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Muévete por Madrid</v>
      </c>
      <c r="C1467" s="114" t="str" cm="1">
        <f t="array" ref="C1467">IFERROR(INDEX('03.Muestra'!$F$8:$F$42,SMALL(IF("Página Web"='03.Muestra'!$D$8:$D$42,ROW('03.Muestra'!$F$8:$F$42)-MIN(ROW('03.Muestra'!$D$8:$D$42))+1,""),ROW()-1462)),"")</f>
        <v>https://www.crtm.es/muevete-por-madrid/</v>
      </c>
      <c r="D1467" s="130" t="s">
        <v>25</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conexiones con aeropuerto y principales estaciones</v>
      </c>
      <c r="C1468" s="114" t="str" cm="1">
        <f t="array" ref="C1468">IFERROR(INDEX('03.Muestra'!$F$8:$F$42,SMALL(IF("Página Web"='03.Muestra'!$D$8:$D$42,ROW('03.Muestra'!$F$8:$F$42)-MIN(ROW('03.Muestra'!$D$8:$D$42))+1,""),ROW()-1462)),"")</f>
        <v xml:space="preserve">https://www.crtm.es/muevete-por-madrid/conexiones-con-aeropuerto-y-principales-estaciones/ </v>
      </c>
      <c r="D1468" s="130" t="s">
        <v>25</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Atención desplazados Ucranianos</v>
      </c>
      <c r="C1469" s="114" t="str" cm="1">
        <f t="array" ref="C1469">IFERROR(INDEX('03.Muestra'!$F$8:$F$42,SMALL(IF("Página Web"='03.Muestra'!$D$8:$D$42,ROW('03.Muestra'!$F$8:$F$42)-MIN(ROW('03.Muestra'!$D$8:$D$42))+1,""),ROW()-1462)),"")</f>
        <v>https://www.crtm.es/atencion-desplazados-ucranianos/#item3</v>
      </c>
      <c r="D1469" s="130" t="s">
        <v>25</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Preguntas frecuentes (Tarjeta transporte público personal)</v>
      </c>
      <c r="C1470" s="114" t="str" cm="1">
        <f t="array" ref="C1470">IFERROR(INDEX('03.Muestra'!$F$8:$F$42,SMALL(IF("Página Web"='03.Muestra'!$D$8:$D$42,ROW('03.Muestra'!$F$8:$F$42)-MIN(ROW('03.Muestra'!$D$8:$D$42))+1,""),ROW()-1462)),"")</f>
        <v xml:space="preserve"> https://www.crtm.es/billetes-y-tarifas/tarjeta-transporte-publico/preguntas-frecuentes/#item23</v>
      </c>
      <c r="D1470" s="130" t="s">
        <v>25</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Billetes y abonos (Metro)</v>
      </c>
      <c r="C1471" s="114" t="str" cm="1">
        <f t="array" ref="C1471">IFERROR(INDEX('03.Muestra'!$F$8:$F$42,SMALL(IF("Página Web"='03.Muestra'!$D$8:$D$42,ROW('03.Muestra'!$F$8:$F$42)-MIN(ROW('03.Muestra'!$D$8:$D$42))+1,""),ROW()-1462)),"")</f>
        <v>https://www.crtm.es/billetes-y-tarifas/billetes-y-abonos/metro/?idPestana=1&amp;lang=#item10</v>
      </c>
      <c r="D1471" s="130" t="s">
        <v>25</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Billetes y tarifas (App)</v>
      </c>
      <c r="C1472" s="114" t="str" cm="1">
        <f t="array" ref="C1472">IFERROR(INDEX('03.Muestra'!$F$8:$F$42,SMALL(IF("Página Web"='03.Muestra'!$D$8:$D$42,ROW('03.Muestra'!$F$8:$F$42)-MIN(ROW('03.Muestra'!$D$8:$D$42))+1,""),ROW()-1462)),"")</f>
        <v>https://www.crtm.es/billetes-y-tarifas/apps/</v>
      </c>
      <c r="D1472" s="130" t="s">
        <v>25</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Atención al cliente</v>
      </c>
      <c r="C1473" s="114" t="str" cm="1">
        <f t="array" ref="C1473">IFERROR(INDEX('03.Muestra'!$F$8:$F$42,SMALL(IF("Página Web"='03.Muestra'!$D$8:$D$42,ROW('03.Muestra'!$F$8:$F$42)-MIN(ROW('03.Muestra'!$D$8:$D$42))+1,""),ROW()-1462)),"")</f>
        <v>https://www.crtm.es/atencion-al-cliente/</v>
      </c>
      <c r="D1473" s="130" t="s">
        <v>25</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Conócenos</v>
      </c>
      <c r="C1474" s="114" t="str" cm="1">
        <f t="array" ref="C1474">IFERROR(INDEX('03.Muestra'!$F$8:$F$42,SMALL(IF("Página Web"='03.Muestra'!$D$8:$D$42,ROW('03.Muestra'!$F$8:$F$42)-MIN(ROW('03.Muestra'!$D$8:$D$42))+1,""),ROW()-1462)),"")</f>
        <v>https://www.crtm.es/conocenos/#CentrodeDocumentacion</v>
      </c>
      <c r="D1474" s="130" t="s">
        <v>25</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Actualidad del servicio</v>
      </c>
      <c r="C1475" s="114" t="str" cm="1">
        <f t="array" ref="C1475">IFERROR(INDEX('03.Muestra'!$F$8:$F$42,SMALL(IF("Página Web"='03.Muestra'!$D$8:$D$42,ROW('03.Muestra'!$F$8:$F$42)-MIN(ROW('03.Muestra'!$D$8:$D$42))+1,""),ROW()-1462)),"")</f>
        <v>https://www.crtm.es/comunicacion/actualidad-del-servicio/?idPestana=1&amp;lang=es</v>
      </c>
      <c r="D1475" s="130" t="s">
        <v>25</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Galería de fotos</v>
      </c>
      <c r="C1476" s="114" t="str" cm="1">
        <f t="array" ref="C1476">IFERROR(INDEX('03.Muestra'!$F$8:$F$42,SMALL(IF("Página Web"='03.Muestra'!$D$8:$D$42,ROW('03.Muestra'!$F$8:$F$42)-MIN(ROW('03.Muestra'!$D$8:$D$42))+1,""),ROW()-1462)),"")</f>
        <v>https://www.crtm.es/comunicacion/multimedia/galeria-de-fotos/</v>
      </c>
      <c r="D1476" s="130" t="s">
        <v>25</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Mapa web</v>
      </c>
      <c r="C1477" s="114" t="str" cm="1">
        <f t="array" ref="C1477">IFERROR(INDEX('03.Muestra'!$F$8:$F$42,SMALL(IF("Página Web"='03.Muestra'!$D$8:$D$42,ROW('03.Muestra'!$F$8:$F$42)-MIN(ROW('03.Muestra'!$D$8:$D$42))+1,""),ROW()-1462)),"")</f>
        <v>https://www.crtm.es/mapa-web</v>
      </c>
      <c r="D1477" s="130" t="s">
        <v>25</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Protección de datos</v>
      </c>
      <c r="C1478" s="114" t="str" cm="1">
        <f t="array" ref="C1478">IFERROR(INDEX('03.Muestra'!$F$8:$F$42,SMALL(IF("Página Web"='03.Muestra'!$D$8:$D$42,ROW('03.Muestra'!$F$8:$F$42)-MIN(ROW('03.Muestra'!$D$8:$D$42))+1,""),ROW()-1462)),"")</f>
        <v>https://www.crtm.es/proteccion-de-datos</v>
      </c>
      <c r="D1478" s="130" t="s">
        <v>25</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Política de cookies</v>
      </c>
      <c r="C1479" s="114" t="str" cm="1">
        <f t="array" ref="C1479">IFERROR(INDEX('03.Muestra'!$F$8:$F$42,SMALL(IF("Página Web"='03.Muestra'!$D$8:$D$42,ROW('03.Muestra'!$F$8:$F$42)-MIN(ROW('03.Muestra'!$D$8:$D$42))+1,""),ROW()-1462)),"")</f>
        <v>https://www.crtm.es/politica-de-cookies</v>
      </c>
      <c r="D1479" s="130" t="s">
        <v>25</v>
      </c>
      <c r="E1479" s="107" t="str">
        <f t="shared" si="76"/>
        <v/>
      </c>
      <c r="F1479" s="19"/>
      <c r="G1479" s="19"/>
      <c r="H1479" s="19"/>
      <c r="I1479" s="19"/>
      <c r="J1479" s="19"/>
      <c r="K1479" s="233"/>
      <c r="L1479" s="19"/>
    </row>
    <row r="1480" spans="1:12" ht="12" customHeight="1">
      <c r="A1480" s="219" cm="1">
        <f t="array" ref="A1480">IFERROR(INDEX('03.Muestra'!$B$8:$B$42,SMALL(IF("Página Web"='03.Muestra'!$D$8:$D$42,ROW('03.Muestra'!$B$8:$B$42)-MIN(ROW('03.Muestra'!$D$8:$D$42))+1,""),ROW()-1462)),"")</f>
        <v>18</v>
      </c>
      <c r="B1480" s="114" t="str" cm="1">
        <f t="array" ref="B1480">IFERROR(INDEX('03.Muestra'!$C$8:$C$42,SMALL(IF("Página Web"='03.Muestra'!$D$8:$D$42,ROW('03.Muestra'!$C$8:$C$42)-MIN(ROW('03.Muestra'!$D$8:$D$42))+1,""),ROW()-1462)),"")</f>
        <v>Aviso Legal</v>
      </c>
      <c r="C1480" s="114" t="str" cm="1">
        <f t="array" ref="C1480">IFERROR(INDEX('03.Muestra'!$F$8:$F$42,SMALL(IF("Página Web"='03.Muestra'!$D$8:$D$42,ROW('03.Muestra'!$F$8:$F$42)-MIN(ROW('03.Muestra'!$D$8:$D$42))+1,""),ROW()-1462)),"")</f>
        <v>https://www.crtm.es/aviso-legal</v>
      </c>
      <c r="D1480" s="130" t="s">
        <v>25</v>
      </c>
      <c r="E1480" s="107" t="str">
        <f t="shared" si="76"/>
        <v/>
      </c>
      <c r="F1480" s="19"/>
      <c r="G1480" s="19"/>
      <c r="H1480" s="19"/>
      <c r="I1480" s="19"/>
      <c r="J1480" s="19"/>
      <c r="K1480" s="233"/>
      <c r="L1480" s="19"/>
    </row>
    <row r="1481" spans="1:12" ht="12" customHeight="1">
      <c r="A1481" s="219" cm="1">
        <f t="array" ref="A1481">IFERROR(INDEX('03.Muestra'!$B$8:$B$42,SMALL(IF("Página Web"='03.Muestra'!$D$8:$D$42,ROW('03.Muestra'!$B$8:$B$42)-MIN(ROW('03.Muestra'!$D$8:$D$42))+1,""),ROW()-1462)),"")</f>
        <v>19</v>
      </c>
      <c r="B1481" s="114" t="str" cm="1">
        <f t="array" ref="B1481">IFERROR(INDEX('03.Muestra'!$C$8:$C$42,SMALL(IF("Página Web"='03.Muestra'!$D$8:$D$42,ROW('03.Muestra'!$C$8:$C$42)-MIN(ROW('03.Muestra'!$D$8:$D$42))+1,""),ROW()-1462)),"")</f>
        <v>Normativa</v>
      </c>
      <c r="C1481" s="114" t="str" cm="1">
        <f t="array" ref="C1481">IFERROR(INDEX('03.Muestra'!$F$8:$F$42,SMALL(IF("Página Web"='03.Muestra'!$D$8:$D$42,ROW('03.Muestra'!$F$8:$F$42)-MIN(ROW('03.Muestra'!$D$8:$D$42))+1,""),ROW()-1462)),"")</f>
        <v>https://www.crtm.es/normativa</v>
      </c>
      <c r="D1481" s="130" t="s">
        <v>25</v>
      </c>
      <c r="E1481" s="107" t="str">
        <f t="shared" si="76"/>
        <v/>
      </c>
      <c r="F1481" s="19"/>
      <c r="G1481" s="19"/>
      <c r="H1481" s="19"/>
      <c r="I1481" s="19"/>
      <c r="J1481" s="19"/>
      <c r="K1481" s="233"/>
      <c r="L1481" s="19"/>
    </row>
    <row r="1482" spans="1:12" ht="12" customHeight="1">
      <c r="A1482" s="219" cm="1">
        <f t="array" ref="A1482">IFERROR(INDEX('03.Muestra'!$B$8:$B$42,SMALL(IF("Página Web"='03.Muestra'!$D$8:$D$42,ROW('03.Muestra'!$B$8:$B$42)-MIN(ROW('03.Muestra'!$D$8:$D$42))+1,""),ROW()-1462)),"")</f>
        <v>20</v>
      </c>
      <c r="B1482" s="114" t="str" cm="1">
        <f t="array" ref="B1482">IFERROR(INDEX('03.Muestra'!$C$8:$C$42,SMALL(IF("Página Web"='03.Muestra'!$D$8:$D$42,ROW('03.Muestra'!$C$8:$C$42)-MIN(ROW('03.Muestra'!$D$8:$D$42))+1,""),ROW()-1462)),"")</f>
        <v>Accesibilidad</v>
      </c>
      <c r="C1482" s="114" t="str" cm="1">
        <f t="array" ref="C1482">IFERROR(INDEX('03.Muestra'!$F$8:$F$42,SMALL(IF("Página Web"='03.Muestra'!$D$8:$D$42,ROW('03.Muestra'!$F$8:$F$42)-MIN(ROW('03.Muestra'!$D$8:$D$42))+1,""),ROW()-1462)),"")</f>
        <v>https://www.crtm.es/accesibilidad</v>
      </c>
      <c r="D1482" s="130" t="s">
        <v>25</v>
      </c>
      <c r="E1482" s="107" t="str">
        <f t="shared" si="76"/>
        <v/>
      </c>
      <c r="F1482" s="19"/>
      <c r="G1482" s="19"/>
      <c r="H1482" s="19"/>
      <c r="I1482" s="19"/>
      <c r="J1482" s="19"/>
      <c r="K1482" s="233"/>
      <c r="L1482" s="19"/>
    </row>
    <row r="1483" spans="1:12" ht="12" customHeight="1">
      <c r="A1483" s="219" cm="1">
        <f t="array" ref="A1483">IFERROR(INDEX('03.Muestra'!$B$8:$B$42,SMALL(IF("Página Web"='03.Muestra'!$D$8:$D$42,ROW('03.Muestra'!$B$8:$B$42)-MIN(ROW('03.Muestra'!$D$8:$D$42))+1,""),ROW()-1462)),"")</f>
        <v>21</v>
      </c>
      <c r="B1483" s="114" t="str" cm="1">
        <f t="array" ref="B1483">IFERROR(INDEX('03.Muestra'!$C$8:$C$42,SMALL(IF("Página Web"='03.Muestra'!$D$8:$D$42,ROW('03.Muestra'!$C$8:$C$42)-MIN(ROW('03.Muestra'!$D$8:$D$42))+1,""),ROW()-1462)),"")</f>
        <v>Modo accesible</v>
      </c>
      <c r="C1483" s="114" t="str" cm="1">
        <f t="array" ref="C1483">IFERROR(INDEX('03.Muestra'!$F$8:$F$42,SMALL(IF("Página Web"='03.Muestra'!$D$8:$D$42,ROW('03.Muestra'!$F$8:$F$42)-MIN(ROW('03.Muestra'!$D$8:$D$42))+1,""),ROW()-1462)),"")</f>
        <v>https://www.crtm.es/</v>
      </c>
      <c r="D1483" s="130" t="s">
        <v>25</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ref="D1484:D1497" si="77">IF(AND(B1484&lt;&gt;"",C1484&lt;&gt;""),"N/T","")</f>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https://www.crtm.es/</v>
      </c>
      <c r="D1501" s="130" t="s">
        <v>25</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Red de metro</v>
      </c>
      <c r="C1502" s="114" t="str" cm="1">
        <f t="array" ref="C1502">IFERROR(INDEX('03.Muestra'!$F$8:$F$42,SMALL(IF("Página Web"='03.Muestra'!$D$8:$D$42,ROW('03.Muestra'!$F$8:$F$42)-MIN(ROW('03.Muestra'!$D$8:$D$42))+1,""),ROW()-1500)),"")</f>
        <v>https://www.crtm.es/tu-transporte-publico/metro/</v>
      </c>
      <c r="D1502" s="130" t="s">
        <v>25</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21</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Líneas de metro</v>
      </c>
      <c r="C1503" s="114" t="str" cm="1">
        <f t="array" ref="C1503">IFERROR(INDEX('03.Muestra'!$F$8:$F$42,SMALL(IF("Página Web"='03.Muestra'!$D$8:$D$42,ROW('03.Muestra'!$F$8:$F$42)-MIN(ROW('03.Muestra'!$D$8:$D$42))+1,""),ROW()-1500)),"")</f>
        <v>https://www.crtm.es/tu-transporte-publico/metro/lineas/4__1___</v>
      </c>
      <c r="D1503" s="130" t="s">
        <v>25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Estaciones Aeropuerto T1-T2-T3</v>
      </c>
      <c r="C1504" s="114" t="str" cm="1">
        <f t="array" ref="C1504">IFERROR(INDEX('03.Muestra'!$F$8:$F$42,SMALL(IF("Página Web"='03.Muestra'!$D$8:$D$42,ROW('03.Muestra'!$F$8:$F$42)-MIN(ROW('03.Muestra'!$D$8:$D$42))+1,""),ROW()-1500)),"")</f>
        <v>https://www.crtm.es/tu-transporte-publico/metro/estaciones/4_159</v>
      </c>
      <c r="D1504" s="130" t="s">
        <v>25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Muévete por Madrid</v>
      </c>
      <c r="C1505" s="114" t="str" cm="1">
        <f t="array" ref="C1505">IFERROR(INDEX('03.Muestra'!$F$8:$F$42,SMALL(IF("Página Web"='03.Muestra'!$D$8:$D$42,ROW('03.Muestra'!$F$8:$F$42)-MIN(ROW('03.Muestra'!$D$8:$D$42))+1,""),ROW()-1500)),"")</f>
        <v>https://www.crtm.es/muevete-por-madrid/</v>
      </c>
      <c r="D1505" s="130" t="s">
        <v>25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conexiones con aeropuerto y principales estaciones</v>
      </c>
      <c r="C1506" s="114" t="str" cm="1">
        <f t="array" ref="C1506">IFERROR(INDEX('03.Muestra'!$F$8:$F$42,SMALL(IF("Página Web"='03.Muestra'!$D$8:$D$42,ROW('03.Muestra'!$F$8:$F$42)-MIN(ROW('03.Muestra'!$D$8:$D$42))+1,""),ROW()-1500)),"")</f>
        <v xml:space="preserve">https://www.crtm.es/muevete-por-madrid/conexiones-con-aeropuerto-y-principales-estaciones/ </v>
      </c>
      <c r="D1506" s="130" t="s">
        <v>25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Atención desplazados Ucranianos</v>
      </c>
      <c r="C1507" s="114" t="str" cm="1">
        <f t="array" ref="C1507">IFERROR(INDEX('03.Muestra'!$F$8:$F$42,SMALL(IF("Página Web"='03.Muestra'!$D$8:$D$42,ROW('03.Muestra'!$F$8:$F$42)-MIN(ROW('03.Muestra'!$D$8:$D$42))+1,""),ROW()-1500)),"")</f>
        <v>https://www.crtm.es/atencion-desplazados-ucranianos/#item3</v>
      </c>
      <c r="D1507" s="130" t="s">
        <v>25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Preguntas frecuentes (Tarjeta transporte público personal)</v>
      </c>
      <c r="C1508" s="114" t="str" cm="1">
        <f t="array" ref="C1508">IFERROR(INDEX('03.Muestra'!$F$8:$F$42,SMALL(IF("Página Web"='03.Muestra'!$D$8:$D$42,ROW('03.Muestra'!$F$8:$F$42)-MIN(ROW('03.Muestra'!$D$8:$D$42))+1,""),ROW()-1500)),"")</f>
        <v xml:space="preserve"> https://www.crtm.es/billetes-y-tarifas/tarjeta-transporte-publico/preguntas-frecuentes/#item23</v>
      </c>
      <c r="D1508" s="130" t="s">
        <v>25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Billetes y abonos (Metro)</v>
      </c>
      <c r="C1509" s="114" t="str" cm="1">
        <f t="array" ref="C1509">IFERROR(INDEX('03.Muestra'!$F$8:$F$42,SMALL(IF("Página Web"='03.Muestra'!$D$8:$D$42,ROW('03.Muestra'!$F$8:$F$42)-MIN(ROW('03.Muestra'!$D$8:$D$42))+1,""),ROW()-1500)),"")</f>
        <v>https://www.crtm.es/billetes-y-tarifas/billetes-y-abonos/metro/?idPestana=1&amp;lang=#item10</v>
      </c>
      <c r="D1509" s="130" t="s">
        <v>25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Billetes y tarifas (App)</v>
      </c>
      <c r="C1510" s="114" t="str" cm="1">
        <f t="array" ref="C1510">IFERROR(INDEX('03.Muestra'!$F$8:$F$42,SMALL(IF("Página Web"='03.Muestra'!$D$8:$D$42,ROW('03.Muestra'!$F$8:$F$42)-MIN(ROW('03.Muestra'!$D$8:$D$42))+1,""),ROW()-1500)),"")</f>
        <v>https://www.crtm.es/billetes-y-tarifas/apps/</v>
      </c>
      <c r="D1510" s="130" t="s">
        <v>25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Atención al cliente</v>
      </c>
      <c r="C1511" s="114" t="str" cm="1">
        <f t="array" ref="C1511">IFERROR(INDEX('03.Muestra'!$F$8:$F$42,SMALL(IF("Página Web"='03.Muestra'!$D$8:$D$42,ROW('03.Muestra'!$F$8:$F$42)-MIN(ROW('03.Muestra'!$D$8:$D$42))+1,""),ROW()-1500)),"")</f>
        <v>https://www.crtm.es/atencion-al-cliente/</v>
      </c>
      <c r="D1511" s="130" t="s">
        <v>25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Conócenos</v>
      </c>
      <c r="C1512" s="114" t="str" cm="1">
        <f t="array" ref="C1512">IFERROR(INDEX('03.Muestra'!$F$8:$F$42,SMALL(IF("Página Web"='03.Muestra'!$D$8:$D$42,ROW('03.Muestra'!$F$8:$F$42)-MIN(ROW('03.Muestra'!$D$8:$D$42))+1,""),ROW()-1500)),"")</f>
        <v>https://www.crtm.es/conocenos/#CentrodeDocumentacion</v>
      </c>
      <c r="D1512" s="130" t="s">
        <v>25</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Actualidad del servicio</v>
      </c>
      <c r="C1513" s="114" t="str" cm="1">
        <f t="array" ref="C1513">IFERROR(INDEX('03.Muestra'!$F$8:$F$42,SMALL(IF("Página Web"='03.Muestra'!$D$8:$D$42,ROW('03.Muestra'!$F$8:$F$42)-MIN(ROW('03.Muestra'!$D$8:$D$42))+1,""),ROW()-1500)),"")</f>
        <v>https://www.crtm.es/comunicacion/actualidad-del-servicio/?idPestana=1&amp;lang=es</v>
      </c>
      <c r="D1513" s="130" t="s">
        <v>25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Galería de fotos</v>
      </c>
      <c r="C1514" s="114" t="str" cm="1">
        <f t="array" ref="C1514">IFERROR(INDEX('03.Muestra'!$F$8:$F$42,SMALL(IF("Página Web"='03.Muestra'!$D$8:$D$42,ROW('03.Muestra'!$F$8:$F$42)-MIN(ROW('03.Muestra'!$D$8:$D$42))+1,""),ROW()-1500)),"")</f>
        <v>https://www.crtm.es/comunicacion/multimedia/galeria-de-fotos/</v>
      </c>
      <c r="D1514" s="130" t="s">
        <v>25</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Mapa web</v>
      </c>
      <c r="C1515" s="114" t="str" cm="1">
        <f t="array" ref="C1515">IFERROR(INDEX('03.Muestra'!$F$8:$F$42,SMALL(IF("Página Web"='03.Muestra'!$D$8:$D$42,ROW('03.Muestra'!$F$8:$F$42)-MIN(ROW('03.Muestra'!$D$8:$D$42))+1,""),ROW()-1500)),"")</f>
        <v>https://www.crtm.es/mapa-web</v>
      </c>
      <c r="D1515" s="130" t="s">
        <v>25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Protección de datos</v>
      </c>
      <c r="C1516" s="114" t="str" cm="1">
        <f t="array" ref="C1516">IFERROR(INDEX('03.Muestra'!$F$8:$F$42,SMALL(IF("Página Web"='03.Muestra'!$D$8:$D$42,ROW('03.Muestra'!$F$8:$F$42)-MIN(ROW('03.Muestra'!$D$8:$D$42))+1,""),ROW()-1500)),"")</f>
        <v>https://www.crtm.es/proteccion-de-datos</v>
      </c>
      <c r="D1516" s="130" t="s">
        <v>25</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Política de cookies</v>
      </c>
      <c r="C1517" s="114" t="str" cm="1">
        <f t="array" ref="C1517">IFERROR(INDEX('03.Muestra'!$F$8:$F$42,SMALL(IF("Página Web"='03.Muestra'!$D$8:$D$42,ROW('03.Muestra'!$F$8:$F$42)-MIN(ROW('03.Muestra'!$D$8:$D$42))+1,""),ROW()-1500)),"")</f>
        <v>https://www.crtm.es/politica-de-cookies</v>
      </c>
      <c r="D1517" s="130" t="s">
        <v>25</v>
      </c>
      <c r="E1517" s="107" t="str">
        <f t="shared" si="78"/>
        <v/>
      </c>
      <c r="F1517" s="19"/>
      <c r="G1517" s="19"/>
      <c r="H1517" s="19"/>
      <c r="I1517" s="19"/>
      <c r="J1517" s="19"/>
      <c r="K1517" s="233"/>
      <c r="L1517" s="19"/>
    </row>
    <row r="1518" spans="1:12" ht="12" customHeight="1">
      <c r="A1518" s="219" cm="1">
        <f t="array" ref="A1518">IFERROR(INDEX('03.Muestra'!$B$8:$B$42,SMALL(IF("Página Web"='03.Muestra'!$D$8:$D$42,ROW('03.Muestra'!$B$8:$B$42)-MIN(ROW('03.Muestra'!$D$8:$D$42))+1,""),ROW()-1500)),"")</f>
        <v>18</v>
      </c>
      <c r="B1518" s="114" t="str" cm="1">
        <f t="array" ref="B1518">IFERROR(INDEX('03.Muestra'!$C$8:$C$42,SMALL(IF("Página Web"='03.Muestra'!$D$8:$D$42,ROW('03.Muestra'!$C$8:$C$42)-MIN(ROW('03.Muestra'!$D$8:$D$42))+1,""),ROW()-1500)),"")</f>
        <v>Aviso Legal</v>
      </c>
      <c r="C1518" s="114" t="str" cm="1">
        <f t="array" ref="C1518">IFERROR(INDEX('03.Muestra'!$F$8:$F$42,SMALL(IF("Página Web"='03.Muestra'!$D$8:$D$42,ROW('03.Muestra'!$F$8:$F$42)-MIN(ROW('03.Muestra'!$D$8:$D$42))+1,""),ROW()-1500)),"")</f>
        <v>https://www.crtm.es/aviso-legal</v>
      </c>
      <c r="D1518" s="130" t="s">
        <v>25</v>
      </c>
      <c r="E1518" s="107" t="str">
        <f t="shared" si="78"/>
        <v/>
      </c>
      <c r="F1518" s="19"/>
      <c r="G1518" s="19"/>
      <c r="H1518" s="19"/>
      <c r="I1518" s="19"/>
      <c r="J1518" s="19"/>
      <c r="K1518" s="233"/>
      <c r="L1518" s="19"/>
    </row>
    <row r="1519" spans="1:12" ht="12" customHeight="1">
      <c r="A1519" s="219" cm="1">
        <f t="array" ref="A1519">IFERROR(INDEX('03.Muestra'!$B$8:$B$42,SMALL(IF("Página Web"='03.Muestra'!$D$8:$D$42,ROW('03.Muestra'!$B$8:$B$42)-MIN(ROW('03.Muestra'!$D$8:$D$42))+1,""),ROW()-1500)),"")</f>
        <v>19</v>
      </c>
      <c r="B1519" s="114" t="str" cm="1">
        <f t="array" ref="B1519">IFERROR(INDEX('03.Muestra'!$C$8:$C$42,SMALL(IF("Página Web"='03.Muestra'!$D$8:$D$42,ROW('03.Muestra'!$C$8:$C$42)-MIN(ROW('03.Muestra'!$D$8:$D$42))+1,""),ROW()-1500)),"")</f>
        <v>Normativa</v>
      </c>
      <c r="C1519" s="114" t="str" cm="1">
        <f t="array" ref="C1519">IFERROR(INDEX('03.Muestra'!$F$8:$F$42,SMALL(IF("Página Web"='03.Muestra'!$D$8:$D$42,ROW('03.Muestra'!$F$8:$F$42)-MIN(ROW('03.Muestra'!$D$8:$D$42))+1,""),ROW()-1500)),"")</f>
        <v>https://www.crtm.es/normativa</v>
      </c>
      <c r="D1519" s="130" t="s">
        <v>25</v>
      </c>
      <c r="E1519" s="107" t="str">
        <f t="shared" si="78"/>
        <v/>
      </c>
      <c r="F1519" s="19"/>
      <c r="G1519" s="19"/>
      <c r="H1519" s="19"/>
      <c r="I1519" s="19"/>
      <c r="J1519" s="19"/>
      <c r="K1519" s="233"/>
      <c r="L1519" s="19"/>
    </row>
    <row r="1520" spans="1:12" ht="12" customHeight="1">
      <c r="A1520" s="219" cm="1">
        <f t="array" ref="A1520">IFERROR(INDEX('03.Muestra'!$B$8:$B$42,SMALL(IF("Página Web"='03.Muestra'!$D$8:$D$42,ROW('03.Muestra'!$B$8:$B$42)-MIN(ROW('03.Muestra'!$D$8:$D$42))+1,""),ROW()-1500)),"")</f>
        <v>20</v>
      </c>
      <c r="B1520" s="114" t="str" cm="1">
        <f t="array" ref="B1520">IFERROR(INDEX('03.Muestra'!$C$8:$C$42,SMALL(IF("Página Web"='03.Muestra'!$D$8:$D$42,ROW('03.Muestra'!$C$8:$C$42)-MIN(ROW('03.Muestra'!$D$8:$D$42))+1,""),ROW()-1500)),"")</f>
        <v>Accesibilidad</v>
      </c>
      <c r="C1520" s="114" t="str" cm="1">
        <f t="array" ref="C1520">IFERROR(INDEX('03.Muestra'!$F$8:$F$42,SMALL(IF("Página Web"='03.Muestra'!$D$8:$D$42,ROW('03.Muestra'!$F$8:$F$42)-MIN(ROW('03.Muestra'!$D$8:$D$42))+1,""),ROW()-1500)),"")</f>
        <v>https://www.crtm.es/accesibilidad</v>
      </c>
      <c r="D1520" s="130" t="s">
        <v>25</v>
      </c>
      <c r="E1520" s="107" t="str">
        <f t="shared" si="78"/>
        <v/>
      </c>
      <c r="F1520" s="19"/>
      <c r="G1520" s="19"/>
      <c r="H1520" s="19"/>
      <c r="I1520" s="19"/>
      <c r="J1520" s="19"/>
      <c r="K1520" s="233"/>
      <c r="L1520" s="19"/>
    </row>
    <row r="1521" spans="1:12" ht="12" customHeight="1">
      <c r="A1521" s="219" cm="1">
        <f t="array" ref="A1521">IFERROR(INDEX('03.Muestra'!$B$8:$B$42,SMALL(IF("Página Web"='03.Muestra'!$D$8:$D$42,ROW('03.Muestra'!$B$8:$B$42)-MIN(ROW('03.Muestra'!$D$8:$D$42))+1,""),ROW()-1500)),"")</f>
        <v>21</v>
      </c>
      <c r="B1521" s="114" t="str" cm="1">
        <f t="array" ref="B1521">IFERROR(INDEX('03.Muestra'!$C$8:$C$42,SMALL(IF("Página Web"='03.Muestra'!$D$8:$D$42,ROW('03.Muestra'!$C$8:$C$42)-MIN(ROW('03.Muestra'!$D$8:$D$42))+1,""),ROW()-1500)),"")</f>
        <v>Modo accesible</v>
      </c>
      <c r="C1521" s="114" t="str" cm="1">
        <f t="array" ref="C1521">IFERROR(INDEX('03.Muestra'!$F$8:$F$42,SMALL(IF("Página Web"='03.Muestra'!$D$8:$D$42,ROW('03.Muestra'!$F$8:$F$42)-MIN(ROW('03.Muestra'!$D$8:$D$42))+1,""),ROW()-1500)),"")</f>
        <v>https://www.crtm.es/</v>
      </c>
      <c r="D1521" s="130" t="s">
        <v>25</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ref="D1522:D1535" si="79">IF(AND(B1522&lt;&gt;"",C1522&lt;&gt;""),"N/T","")</f>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https://www.crtm.es/</v>
      </c>
      <c r="D1539" s="130" t="s">
        <v>25</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Red de metro</v>
      </c>
      <c r="C1540" s="114" t="str" cm="1">
        <f t="array" ref="C1540">IFERROR(INDEX('03.Muestra'!$F$8:$F$42,SMALL(IF("Página Web"='03.Muestra'!$D$8:$D$42,ROW('03.Muestra'!$F$8:$F$42)-MIN(ROW('03.Muestra'!$D$8:$D$42))+1,""),ROW()-1538)),"")</f>
        <v>https://www.crtm.es/tu-transporte-publico/metro/</v>
      </c>
      <c r="D1540" s="130" t="s">
        <v>25</v>
      </c>
      <c r="E1540" s="107" t="str">
        <f t="shared" si="80"/>
        <v/>
      </c>
      <c r="F1540" s="120">
        <f ca="1">COUNTIF($D1539:INDIRECT("$D" &amp;  SUM(ROW()-1,'03.Muestra'!$D$45)-1),F1539)</f>
        <v>0</v>
      </c>
      <c r="G1540" s="120">
        <f ca="1">COUNTIF($D1539:INDIRECT("$D" &amp;  SUM(ROW()-1,'03.Muestra'!$D$45)-1),G1539)</f>
        <v>0</v>
      </c>
      <c r="H1540" s="120">
        <f ca="1">COUNTIF($D1539:INDIRECT("$D" &amp;  SUM(ROW()-1,'03.Muestra'!$D$45)-1),H1539)</f>
        <v>1</v>
      </c>
      <c r="I1540" s="120">
        <f ca="1">COUNTIF($D1539:INDIRECT("$D" &amp;  SUM(ROW()-1,'03.Muestra'!$D$45)-1),I1539)</f>
        <v>0</v>
      </c>
      <c r="J1540" s="120">
        <f ca="1">COUNTIF($D1539:INDIRECT("$D" &amp;  SUM(ROW()-1,'03.Muestra'!$D$45)-1),J1539)</f>
        <v>20</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Líneas de metro</v>
      </c>
      <c r="C1541" s="114" t="str" cm="1">
        <f t="array" ref="C1541">IFERROR(INDEX('03.Muestra'!$F$8:$F$42,SMALL(IF("Página Web"='03.Muestra'!$D$8:$D$42,ROW('03.Muestra'!$F$8:$F$42)-MIN(ROW('03.Muestra'!$D$8:$D$42))+1,""),ROW()-1538)),"")</f>
        <v>https://www.crtm.es/tu-transporte-publico/metro/lineas/4__1___</v>
      </c>
      <c r="D1541" s="130" t="s">
        <v>25</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Estaciones Aeropuerto T1-T2-T3</v>
      </c>
      <c r="C1542" s="114" t="str" cm="1">
        <f t="array" ref="C1542">IFERROR(INDEX('03.Muestra'!$F$8:$F$42,SMALL(IF("Página Web"='03.Muestra'!$D$8:$D$42,ROW('03.Muestra'!$F$8:$F$42)-MIN(ROW('03.Muestra'!$D$8:$D$42))+1,""),ROW()-1538)),"")</f>
        <v>https://www.crtm.es/tu-transporte-publico/metro/estaciones/4_159</v>
      </c>
      <c r="D1542" s="130" t="s">
        <v>25</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Muévete por Madrid</v>
      </c>
      <c r="C1543" s="114" t="str" cm="1">
        <f t="array" ref="C1543">IFERROR(INDEX('03.Muestra'!$F$8:$F$42,SMALL(IF("Página Web"='03.Muestra'!$D$8:$D$42,ROW('03.Muestra'!$F$8:$F$42)-MIN(ROW('03.Muestra'!$D$8:$D$42))+1,""),ROW()-1538)),"")</f>
        <v>https://www.crtm.es/muevete-por-madrid/</v>
      </c>
      <c r="D1543" s="130" t="s">
        <v>25</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conexiones con aeropuerto y principales estaciones</v>
      </c>
      <c r="C1544" s="114" t="str" cm="1">
        <f t="array" ref="C1544">IFERROR(INDEX('03.Muestra'!$F$8:$F$42,SMALL(IF("Página Web"='03.Muestra'!$D$8:$D$42,ROW('03.Muestra'!$F$8:$F$42)-MIN(ROW('03.Muestra'!$D$8:$D$42))+1,""),ROW()-1538)),"")</f>
        <v xml:space="preserve">https://www.crtm.es/muevete-por-madrid/conexiones-con-aeropuerto-y-principales-estaciones/ </v>
      </c>
      <c r="D1544" s="130" t="s">
        <v>25</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Atención desplazados Ucranianos</v>
      </c>
      <c r="C1545" s="114" t="str" cm="1">
        <f t="array" ref="C1545">IFERROR(INDEX('03.Muestra'!$F$8:$F$42,SMALL(IF("Página Web"='03.Muestra'!$D$8:$D$42,ROW('03.Muestra'!$F$8:$F$42)-MIN(ROW('03.Muestra'!$D$8:$D$42))+1,""),ROW()-1538)),"")</f>
        <v>https://www.crtm.es/atencion-desplazados-ucranianos/#item3</v>
      </c>
      <c r="D1545" s="130" t="s">
        <v>25</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Preguntas frecuentes (Tarjeta transporte público personal)</v>
      </c>
      <c r="C1546" s="114" t="str" cm="1">
        <f t="array" ref="C1546">IFERROR(INDEX('03.Muestra'!$F$8:$F$42,SMALL(IF("Página Web"='03.Muestra'!$D$8:$D$42,ROW('03.Muestra'!$F$8:$F$42)-MIN(ROW('03.Muestra'!$D$8:$D$42))+1,""),ROW()-1538)),"")</f>
        <v xml:space="preserve"> https://www.crtm.es/billetes-y-tarifas/tarjeta-transporte-publico/preguntas-frecuentes/#item23</v>
      </c>
      <c r="D1546" s="130" t="s">
        <v>25</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Billetes y abonos (Metro)</v>
      </c>
      <c r="C1547" s="114" t="str" cm="1">
        <f t="array" ref="C1547">IFERROR(INDEX('03.Muestra'!$F$8:$F$42,SMALL(IF("Página Web"='03.Muestra'!$D$8:$D$42,ROW('03.Muestra'!$F$8:$F$42)-MIN(ROW('03.Muestra'!$D$8:$D$42))+1,""),ROW()-1538)),"")</f>
        <v>https://www.crtm.es/billetes-y-tarifas/billetes-y-abonos/metro/?idPestana=1&amp;lang=#item10</v>
      </c>
      <c r="D1547" s="130" t="s">
        <v>25</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Billetes y tarifas (App)</v>
      </c>
      <c r="C1548" s="114" t="str" cm="1">
        <f t="array" ref="C1548">IFERROR(INDEX('03.Muestra'!$F$8:$F$42,SMALL(IF("Página Web"='03.Muestra'!$D$8:$D$42,ROW('03.Muestra'!$F$8:$F$42)-MIN(ROW('03.Muestra'!$D$8:$D$42))+1,""),ROW()-1538)),"")</f>
        <v>https://www.crtm.es/billetes-y-tarifas/apps/</v>
      </c>
      <c r="D1548" s="130" t="s">
        <v>25</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Atención al cliente</v>
      </c>
      <c r="C1549" s="114" t="str" cm="1">
        <f t="array" ref="C1549">IFERROR(INDEX('03.Muestra'!$F$8:$F$42,SMALL(IF("Página Web"='03.Muestra'!$D$8:$D$42,ROW('03.Muestra'!$F$8:$F$42)-MIN(ROW('03.Muestra'!$D$8:$D$42))+1,""),ROW()-1538)),"")</f>
        <v>https://www.crtm.es/atencion-al-cliente/</v>
      </c>
      <c r="D1549" s="130" t="s">
        <v>25</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Conócenos</v>
      </c>
      <c r="C1550" s="114" t="str" cm="1">
        <f t="array" ref="C1550">IFERROR(INDEX('03.Muestra'!$F$8:$F$42,SMALL(IF("Página Web"='03.Muestra'!$D$8:$D$42,ROW('03.Muestra'!$F$8:$F$42)-MIN(ROW('03.Muestra'!$D$8:$D$42))+1,""),ROW()-1538)),"")</f>
        <v>https://www.crtm.es/conocenos/#CentrodeDocumentacion</v>
      </c>
      <c r="D1550" s="130" t="s">
        <v>25</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Actualidad del servicio</v>
      </c>
      <c r="C1551" s="114" t="str" cm="1">
        <f t="array" ref="C1551">IFERROR(INDEX('03.Muestra'!$F$8:$F$42,SMALL(IF("Página Web"='03.Muestra'!$D$8:$D$42,ROW('03.Muestra'!$F$8:$F$42)-MIN(ROW('03.Muestra'!$D$8:$D$42))+1,""),ROW()-1538)),"")</f>
        <v>https://www.crtm.es/comunicacion/actualidad-del-servicio/?idPestana=1&amp;lang=es</v>
      </c>
      <c r="D1551" s="130" t="s">
        <v>25</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Galería de fotos</v>
      </c>
      <c r="C1552" s="114" t="str" cm="1">
        <f t="array" ref="C1552">IFERROR(INDEX('03.Muestra'!$F$8:$F$42,SMALL(IF("Página Web"='03.Muestra'!$D$8:$D$42,ROW('03.Muestra'!$F$8:$F$42)-MIN(ROW('03.Muestra'!$D$8:$D$42))+1,""),ROW()-1538)),"")</f>
        <v>https://www.crtm.es/comunicacion/multimedia/galeria-de-fotos/</v>
      </c>
      <c r="D1552" s="130" t="s">
        <v>25</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Mapa web</v>
      </c>
      <c r="C1553" s="114" t="str" cm="1">
        <f t="array" ref="C1553">IFERROR(INDEX('03.Muestra'!$F$8:$F$42,SMALL(IF("Página Web"='03.Muestra'!$D$8:$D$42,ROW('03.Muestra'!$F$8:$F$42)-MIN(ROW('03.Muestra'!$D$8:$D$42))+1,""),ROW()-1538)),"")</f>
        <v>https://www.crtm.es/mapa-web</v>
      </c>
      <c r="D1553" s="130" t="s">
        <v>25</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Protección de datos</v>
      </c>
      <c r="C1554" s="114" t="str" cm="1">
        <f t="array" ref="C1554">IFERROR(INDEX('03.Muestra'!$F$8:$F$42,SMALL(IF("Página Web"='03.Muestra'!$D$8:$D$42,ROW('03.Muestra'!$F$8:$F$42)-MIN(ROW('03.Muestra'!$D$8:$D$42))+1,""),ROW()-1538)),"")</f>
        <v>https://www.crtm.es/proteccion-de-datos</v>
      </c>
      <c r="D1554" s="130" t="s">
        <v>25</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Política de cookies</v>
      </c>
      <c r="C1555" s="114" t="str" cm="1">
        <f t="array" ref="C1555">IFERROR(INDEX('03.Muestra'!$F$8:$F$42,SMALL(IF("Página Web"='03.Muestra'!$D$8:$D$42,ROW('03.Muestra'!$F$8:$F$42)-MIN(ROW('03.Muestra'!$D$8:$D$42))+1,""),ROW()-1538)),"")</f>
        <v>https://www.crtm.es/politica-de-cookies</v>
      </c>
      <c r="D1555" s="130" t="s">
        <v>25</v>
      </c>
      <c r="E1555" s="107" t="str">
        <f t="shared" si="80"/>
        <v/>
      </c>
      <c r="F1555" s="19"/>
      <c r="G1555" s="19"/>
      <c r="H1555" s="19"/>
      <c r="I1555" s="19"/>
      <c r="J1555" s="19"/>
      <c r="K1555" s="233"/>
      <c r="L1555" s="19"/>
    </row>
    <row r="1556" spans="1:12" ht="12" customHeight="1">
      <c r="A1556" s="219" cm="1">
        <f t="array" ref="A1556">IFERROR(INDEX('03.Muestra'!$B$8:$B$42,SMALL(IF("Página Web"='03.Muestra'!$D$8:$D$42,ROW('03.Muestra'!$B$8:$B$42)-MIN(ROW('03.Muestra'!$D$8:$D$42))+1,""),ROW()-1538)),"")</f>
        <v>18</v>
      </c>
      <c r="B1556" s="114" t="str" cm="1">
        <f t="array" ref="B1556">IFERROR(INDEX('03.Muestra'!$C$8:$C$42,SMALL(IF("Página Web"='03.Muestra'!$D$8:$D$42,ROW('03.Muestra'!$C$8:$C$42)-MIN(ROW('03.Muestra'!$D$8:$D$42))+1,""),ROW()-1538)),"")</f>
        <v>Aviso Legal</v>
      </c>
      <c r="C1556" s="114" t="str" cm="1">
        <f t="array" ref="C1556">IFERROR(INDEX('03.Muestra'!$F$8:$F$42,SMALL(IF("Página Web"='03.Muestra'!$D$8:$D$42,ROW('03.Muestra'!$F$8:$F$42)-MIN(ROW('03.Muestra'!$D$8:$D$42))+1,""),ROW()-1538)),"")</f>
        <v>https://www.crtm.es/aviso-legal</v>
      </c>
      <c r="D1556" s="130" t="s">
        <v>25</v>
      </c>
      <c r="E1556" s="107" t="str">
        <f t="shared" si="80"/>
        <v/>
      </c>
      <c r="F1556" s="19"/>
      <c r="G1556" s="19"/>
      <c r="H1556" s="19"/>
      <c r="I1556" s="19"/>
      <c r="J1556" s="19"/>
      <c r="K1556" s="233"/>
      <c r="L1556" s="19"/>
    </row>
    <row r="1557" spans="1:12" ht="12" customHeight="1">
      <c r="A1557" s="219" cm="1">
        <f t="array" ref="A1557">IFERROR(INDEX('03.Muestra'!$B$8:$B$42,SMALL(IF("Página Web"='03.Muestra'!$D$8:$D$42,ROW('03.Muestra'!$B$8:$B$42)-MIN(ROW('03.Muestra'!$D$8:$D$42))+1,""),ROW()-1538)),"")</f>
        <v>19</v>
      </c>
      <c r="B1557" s="114" t="str" cm="1">
        <f t="array" ref="B1557">IFERROR(INDEX('03.Muestra'!$C$8:$C$42,SMALL(IF("Página Web"='03.Muestra'!$D$8:$D$42,ROW('03.Muestra'!$C$8:$C$42)-MIN(ROW('03.Muestra'!$D$8:$D$42))+1,""),ROW()-1538)),"")</f>
        <v>Normativa</v>
      </c>
      <c r="C1557" s="114" t="str" cm="1">
        <f t="array" ref="C1557">IFERROR(INDEX('03.Muestra'!$F$8:$F$42,SMALL(IF("Página Web"='03.Muestra'!$D$8:$D$42,ROW('03.Muestra'!$F$8:$F$42)-MIN(ROW('03.Muestra'!$D$8:$D$42))+1,""),ROW()-1538)),"")</f>
        <v>https://www.crtm.es/normativa</v>
      </c>
      <c r="D1557" s="130" t="s">
        <v>25</v>
      </c>
      <c r="E1557" s="107" t="str">
        <f t="shared" si="80"/>
        <v/>
      </c>
      <c r="F1557" s="19"/>
      <c r="G1557" s="19"/>
      <c r="H1557" s="19"/>
      <c r="I1557" s="19"/>
      <c r="J1557" s="19"/>
      <c r="K1557" s="233"/>
      <c r="L1557" s="19"/>
    </row>
    <row r="1558" spans="1:12" ht="12" customHeight="1">
      <c r="A1558" s="219" cm="1">
        <f t="array" ref="A1558">IFERROR(INDEX('03.Muestra'!$B$8:$B$42,SMALL(IF("Página Web"='03.Muestra'!$D$8:$D$42,ROW('03.Muestra'!$B$8:$B$42)-MIN(ROW('03.Muestra'!$D$8:$D$42))+1,""),ROW()-1538)),"")</f>
        <v>20</v>
      </c>
      <c r="B1558" s="114" t="str" cm="1">
        <f t="array" ref="B1558">IFERROR(INDEX('03.Muestra'!$C$8:$C$42,SMALL(IF("Página Web"='03.Muestra'!$D$8:$D$42,ROW('03.Muestra'!$C$8:$C$42)-MIN(ROW('03.Muestra'!$D$8:$D$42))+1,""),ROW()-1538)),"")</f>
        <v>Accesibilidad</v>
      </c>
      <c r="C1558" s="114" t="str" cm="1">
        <f t="array" ref="C1558">IFERROR(INDEX('03.Muestra'!$F$8:$F$42,SMALL(IF("Página Web"='03.Muestra'!$D$8:$D$42,ROW('03.Muestra'!$F$8:$F$42)-MIN(ROW('03.Muestra'!$D$8:$D$42))+1,""),ROW()-1538)),"")</f>
        <v>https://www.crtm.es/accesibilidad</v>
      </c>
      <c r="D1558" s="130" t="s">
        <v>25</v>
      </c>
      <c r="E1558" s="107" t="str">
        <f t="shared" si="80"/>
        <v/>
      </c>
      <c r="F1558" s="19"/>
      <c r="G1558" s="19"/>
      <c r="H1558" s="19"/>
      <c r="I1558" s="19"/>
      <c r="J1558" s="19"/>
      <c r="K1558" s="233"/>
      <c r="L1558" s="19"/>
    </row>
    <row r="1559" spans="1:12" ht="12" customHeight="1">
      <c r="A1559" s="219" cm="1">
        <f t="array" ref="A1559">IFERROR(INDEX('03.Muestra'!$B$8:$B$42,SMALL(IF("Página Web"='03.Muestra'!$D$8:$D$42,ROW('03.Muestra'!$B$8:$B$42)-MIN(ROW('03.Muestra'!$D$8:$D$42))+1,""),ROW()-1538)),"")</f>
        <v>21</v>
      </c>
      <c r="B1559" s="114" t="str" cm="1">
        <f t="array" ref="B1559">IFERROR(INDEX('03.Muestra'!$C$8:$C$42,SMALL(IF("Página Web"='03.Muestra'!$D$8:$D$42,ROW('03.Muestra'!$C$8:$C$42)-MIN(ROW('03.Muestra'!$D$8:$D$42))+1,""),ROW()-1538)),"")</f>
        <v>Modo accesible</v>
      </c>
      <c r="C1559" s="114" t="str" cm="1">
        <f t="array" ref="C1559">IFERROR(INDEX('03.Muestra'!$F$8:$F$42,SMALL(IF("Página Web"='03.Muestra'!$D$8:$D$42,ROW('03.Muestra'!$F$8:$F$42)-MIN(ROW('03.Muestra'!$D$8:$D$42))+1,""),ROW()-1538)),"")</f>
        <v>https://www.crtm.es/</v>
      </c>
      <c r="D1559" s="130" t="s">
        <v>34</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ref="D1560:D1573" si="81">IF(AND(B1560&lt;&gt;"",C1560&lt;&gt;""),"N/T","")</f>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https://www.crtm.es/</v>
      </c>
      <c r="D1577" s="130" t="s">
        <v>25</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Red de metro</v>
      </c>
      <c r="C1578" s="114" t="str" cm="1">
        <f t="array" ref="C1578">IFERROR(INDEX('03.Muestra'!$F$8:$F$42,SMALL(IF("Página Web"='03.Muestra'!$D$8:$D$42,ROW('03.Muestra'!$F$8:$F$42)-MIN(ROW('03.Muestra'!$D$8:$D$42))+1,""),ROW()-1576)),"")</f>
        <v>https://www.crtm.es/tu-transporte-publico/metro/</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1</v>
      </c>
      <c r="I1578" s="120">
        <f ca="1">COUNTIF($D1577:INDIRECT("$D" &amp;  SUM(ROW()-1,'03.Muestra'!$D$45)-1),I1577)</f>
        <v>0</v>
      </c>
      <c r="J1578" s="120">
        <f ca="1">COUNTIF($D1577:INDIRECT("$D" &amp;  SUM(ROW()-1,'03.Muestra'!$D$45)-1),J1577)</f>
        <v>20</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Líneas de metro</v>
      </c>
      <c r="C1579" s="114" t="str" cm="1">
        <f t="array" ref="C1579">IFERROR(INDEX('03.Muestra'!$F$8:$F$42,SMALL(IF("Página Web"='03.Muestra'!$D$8:$D$42,ROW('03.Muestra'!$F$8:$F$42)-MIN(ROW('03.Muestra'!$D$8:$D$42))+1,""),ROW()-1576)),"")</f>
        <v>https://www.crtm.es/tu-transporte-publico/metro/lineas/4__1___</v>
      </c>
      <c r="D1579" s="130" t="s">
        <v>25</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Estaciones Aeropuerto T1-T2-T3</v>
      </c>
      <c r="C1580" s="114" t="str" cm="1">
        <f t="array" ref="C1580">IFERROR(INDEX('03.Muestra'!$F$8:$F$42,SMALL(IF("Página Web"='03.Muestra'!$D$8:$D$42,ROW('03.Muestra'!$F$8:$F$42)-MIN(ROW('03.Muestra'!$D$8:$D$42))+1,""),ROW()-1576)),"")</f>
        <v>https://www.crtm.es/tu-transporte-publico/metro/estaciones/4_159</v>
      </c>
      <c r="D1580" s="130" t="s">
        <v>25</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Muévete por Madrid</v>
      </c>
      <c r="C1581" s="114" t="str" cm="1">
        <f t="array" ref="C1581">IFERROR(INDEX('03.Muestra'!$F$8:$F$42,SMALL(IF("Página Web"='03.Muestra'!$D$8:$D$42,ROW('03.Muestra'!$F$8:$F$42)-MIN(ROW('03.Muestra'!$D$8:$D$42))+1,""),ROW()-1576)),"")</f>
        <v>https://www.crtm.es/muevete-por-madrid/</v>
      </c>
      <c r="D1581" s="130" t="s">
        <v>25</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conexiones con aeropuerto y principales estaciones</v>
      </c>
      <c r="C1582" s="114" t="str" cm="1">
        <f t="array" ref="C1582">IFERROR(INDEX('03.Muestra'!$F$8:$F$42,SMALL(IF("Página Web"='03.Muestra'!$D$8:$D$42,ROW('03.Muestra'!$F$8:$F$42)-MIN(ROW('03.Muestra'!$D$8:$D$42))+1,""),ROW()-1576)),"")</f>
        <v xml:space="preserve">https://www.crtm.es/muevete-por-madrid/conexiones-con-aeropuerto-y-principales-estaciones/ </v>
      </c>
      <c r="D1582" s="130" t="s">
        <v>25</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Atención desplazados Ucranianos</v>
      </c>
      <c r="C1583" s="114" t="str" cm="1">
        <f t="array" ref="C1583">IFERROR(INDEX('03.Muestra'!$F$8:$F$42,SMALL(IF("Página Web"='03.Muestra'!$D$8:$D$42,ROW('03.Muestra'!$F$8:$F$42)-MIN(ROW('03.Muestra'!$D$8:$D$42))+1,""),ROW()-1576)),"")</f>
        <v>https://www.crtm.es/atencion-desplazados-ucranianos/#item3</v>
      </c>
      <c r="D1583" s="130" t="s">
        <v>25</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Preguntas frecuentes (Tarjeta transporte público personal)</v>
      </c>
      <c r="C1584" s="114" t="str" cm="1">
        <f t="array" ref="C1584">IFERROR(INDEX('03.Muestra'!$F$8:$F$42,SMALL(IF("Página Web"='03.Muestra'!$D$8:$D$42,ROW('03.Muestra'!$F$8:$F$42)-MIN(ROW('03.Muestra'!$D$8:$D$42))+1,""),ROW()-1576)),"")</f>
        <v xml:space="preserve"> https://www.crtm.es/billetes-y-tarifas/tarjeta-transporte-publico/preguntas-frecuentes/#item23</v>
      </c>
      <c r="D1584" s="130" t="s">
        <v>25</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Billetes y abonos (Metro)</v>
      </c>
      <c r="C1585" s="114" t="str" cm="1">
        <f t="array" ref="C1585">IFERROR(INDEX('03.Muestra'!$F$8:$F$42,SMALL(IF("Página Web"='03.Muestra'!$D$8:$D$42,ROW('03.Muestra'!$F$8:$F$42)-MIN(ROW('03.Muestra'!$D$8:$D$42))+1,""),ROW()-1576)),"")</f>
        <v>https://www.crtm.es/billetes-y-tarifas/billetes-y-abonos/metro/?idPestana=1&amp;lang=#item10</v>
      </c>
      <c r="D1585" s="130" t="s">
        <v>25</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Billetes y tarifas (App)</v>
      </c>
      <c r="C1586" s="114" t="str" cm="1">
        <f t="array" ref="C1586">IFERROR(INDEX('03.Muestra'!$F$8:$F$42,SMALL(IF("Página Web"='03.Muestra'!$D$8:$D$42,ROW('03.Muestra'!$F$8:$F$42)-MIN(ROW('03.Muestra'!$D$8:$D$42))+1,""),ROW()-1576)),"")</f>
        <v>https://www.crtm.es/billetes-y-tarifas/apps/</v>
      </c>
      <c r="D1586" s="130" t="s">
        <v>25</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Atención al cliente</v>
      </c>
      <c r="C1587" s="114" t="str" cm="1">
        <f t="array" ref="C1587">IFERROR(INDEX('03.Muestra'!$F$8:$F$42,SMALL(IF("Página Web"='03.Muestra'!$D$8:$D$42,ROW('03.Muestra'!$F$8:$F$42)-MIN(ROW('03.Muestra'!$D$8:$D$42))+1,""),ROW()-1576)),"")</f>
        <v>https://www.crtm.es/atencion-al-cliente/</v>
      </c>
      <c r="D1587" s="130" t="s">
        <v>25</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Conócenos</v>
      </c>
      <c r="C1588" s="114" t="str" cm="1">
        <f t="array" ref="C1588">IFERROR(INDEX('03.Muestra'!$F$8:$F$42,SMALL(IF("Página Web"='03.Muestra'!$D$8:$D$42,ROW('03.Muestra'!$F$8:$F$42)-MIN(ROW('03.Muestra'!$D$8:$D$42))+1,""),ROW()-1576)),"")</f>
        <v>https://www.crtm.es/conocenos/#CentrodeDocumentacion</v>
      </c>
      <c r="D1588" s="130" t="s">
        <v>25</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Actualidad del servicio</v>
      </c>
      <c r="C1589" s="114" t="str" cm="1">
        <f t="array" ref="C1589">IFERROR(INDEX('03.Muestra'!$F$8:$F$42,SMALL(IF("Página Web"='03.Muestra'!$D$8:$D$42,ROW('03.Muestra'!$F$8:$F$42)-MIN(ROW('03.Muestra'!$D$8:$D$42))+1,""),ROW()-1576)),"")</f>
        <v>https://www.crtm.es/comunicacion/actualidad-del-servicio/?idPestana=1&amp;lang=es</v>
      </c>
      <c r="D1589" s="130" t="s">
        <v>25</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Galería de fotos</v>
      </c>
      <c r="C1590" s="114" t="str" cm="1">
        <f t="array" ref="C1590">IFERROR(INDEX('03.Muestra'!$F$8:$F$42,SMALL(IF("Página Web"='03.Muestra'!$D$8:$D$42,ROW('03.Muestra'!$F$8:$F$42)-MIN(ROW('03.Muestra'!$D$8:$D$42))+1,""),ROW()-1576)),"")</f>
        <v>https://www.crtm.es/comunicacion/multimedia/galeria-de-fotos/</v>
      </c>
      <c r="D1590" s="130" t="s">
        <v>25</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Mapa web</v>
      </c>
      <c r="C1591" s="114" t="str" cm="1">
        <f t="array" ref="C1591">IFERROR(INDEX('03.Muestra'!$F$8:$F$42,SMALL(IF("Página Web"='03.Muestra'!$D$8:$D$42,ROW('03.Muestra'!$F$8:$F$42)-MIN(ROW('03.Muestra'!$D$8:$D$42))+1,""),ROW()-1576)),"")</f>
        <v>https://www.crtm.es/mapa-web</v>
      </c>
      <c r="D1591" s="130" t="s">
        <v>25</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Protección de datos</v>
      </c>
      <c r="C1592" s="114" t="str" cm="1">
        <f t="array" ref="C1592">IFERROR(INDEX('03.Muestra'!$F$8:$F$42,SMALL(IF("Página Web"='03.Muestra'!$D$8:$D$42,ROW('03.Muestra'!$F$8:$F$42)-MIN(ROW('03.Muestra'!$D$8:$D$42))+1,""),ROW()-1576)),"")</f>
        <v>https://www.crtm.es/proteccion-de-datos</v>
      </c>
      <c r="D1592" s="130" t="s">
        <v>25</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Política de cookies</v>
      </c>
      <c r="C1593" s="114" t="str" cm="1">
        <f t="array" ref="C1593">IFERROR(INDEX('03.Muestra'!$F$8:$F$42,SMALL(IF("Página Web"='03.Muestra'!$D$8:$D$42,ROW('03.Muestra'!$F$8:$F$42)-MIN(ROW('03.Muestra'!$D$8:$D$42))+1,""),ROW()-1576)),"")</f>
        <v>https://www.crtm.es/politica-de-cookies</v>
      </c>
      <c r="D1593" s="130" t="s">
        <v>25</v>
      </c>
      <c r="E1593" s="107" t="str">
        <f t="shared" si="82"/>
        <v/>
      </c>
      <c r="F1593" s="19"/>
      <c r="G1593" s="19"/>
      <c r="H1593" s="19"/>
      <c r="I1593" s="19"/>
      <c r="J1593" s="19"/>
      <c r="K1593" s="233"/>
      <c r="L1593" s="19"/>
    </row>
    <row r="1594" spans="1:12" ht="12" customHeight="1">
      <c r="A1594" s="219" cm="1">
        <f t="array" ref="A1594">IFERROR(INDEX('03.Muestra'!$B$8:$B$42,SMALL(IF("Página Web"='03.Muestra'!$D$8:$D$42,ROW('03.Muestra'!$B$8:$B$42)-MIN(ROW('03.Muestra'!$D$8:$D$42))+1,""),ROW()-1576)),"")</f>
        <v>18</v>
      </c>
      <c r="B1594" s="114" t="str" cm="1">
        <f t="array" ref="B1594">IFERROR(INDEX('03.Muestra'!$C$8:$C$42,SMALL(IF("Página Web"='03.Muestra'!$D$8:$D$42,ROW('03.Muestra'!$C$8:$C$42)-MIN(ROW('03.Muestra'!$D$8:$D$42))+1,""),ROW()-1576)),"")</f>
        <v>Aviso Legal</v>
      </c>
      <c r="C1594" s="114" t="str" cm="1">
        <f t="array" ref="C1594">IFERROR(INDEX('03.Muestra'!$F$8:$F$42,SMALL(IF("Página Web"='03.Muestra'!$D$8:$D$42,ROW('03.Muestra'!$F$8:$F$42)-MIN(ROW('03.Muestra'!$D$8:$D$42))+1,""),ROW()-1576)),"")</f>
        <v>https://www.crtm.es/aviso-legal</v>
      </c>
      <c r="D1594" s="130" t="s">
        <v>25</v>
      </c>
      <c r="E1594" s="107" t="str">
        <f t="shared" si="82"/>
        <v/>
      </c>
      <c r="F1594" s="19"/>
      <c r="G1594" s="19"/>
      <c r="H1594" s="19"/>
      <c r="I1594" s="19"/>
      <c r="J1594" s="19"/>
      <c r="K1594" s="233"/>
      <c r="L1594" s="19"/>
    </row>
    <row r="1595" spans="1:12" ht="12" customHeight="1">
      <c r="A1595" s="219" cm="1">
        <f t="array" ref="A1595">IFERROR(INDEX('03.Muestra'!$B$8:$B$42,SMALL(IF("Página Web"='03.Muestra'!$D$8:$D$42,ROW('03.Muestra'!$B$8:$B$42)-MIN(ROW('03.Muestra'!$D$8:$D$42))+1,""),ROW()-1576)),"")</f>
        <v>19</v>
      </c>
      <c r="B1595" s="114" t="str" cm="1">
        <f t="array" ref="B1595">IFERROR(INDEX('03.Muestra'!$C$8:$C$42,SMALL(IF("Página Web"='03.Muestra'!$D$8:$D$42,ROW('03.Muestra'!$C$8:$C$42)-MIN(ROW('03.Muestra'!$D$8:$D$42))+1,""),ROW()-1576)),"")</f>
        <v>Normativa</v>
      </c>
      <c r="C1595" s="114" t="str" cm="1">
        <f t="array" ref="C1595">IFERROR(INDEX('03.Muestra'!$F$8:$F$42,SMALL(IF("Página Web"='03.Muestra'!$D$8:$D$42,ROW('03.Muestra'!$F$8:$F$42)-MIN(ROW('03.Muestra'!$D$8:$D$42))+1,""),ROW()-1576)),"")</f>
        <v>https://www.crtm.es/normativa</v>
      </c>
      <c r="D1595" s="130" t="s">
        <v>25</v>
      </c>
      <c r="E1595" s="107" t="str">
        <f t="shared" si="82"/>
        <v/>
      </c>
      <c r="F1595" s="19"/>
      <c r="G1595" s="19"/>
      <c r="H1595" s="19"/>
      <c r="I1595" s="19"/>
      <c r="J1595" s="19"/>
      <c r="K1595" s="233"/>
      <c r="L1595" s="19"/>
    </row>
    <row r="1596" spans="1:12" ht="12" customHeight="1">
      <c r="A1596" s="219" cm="1">
        <f t="array" ref="A1596">IFERROR(INDEX('03.Muestra'!$B$8:$B$42,SMALL(IF("Página Web"='03.Muestra'!$D$8:$D$42,ROW('03.Muestra'!$B$8:$B$42)-MIN(ROW('03.Muestra'!$D$8:$D$42))+1,""),ROW()-1576)),"")</f>
        <v>20</v>
      </c>
      <c r="B1596" s="114" t="str" cm="1">
        <f t="array" ref="B1596">IFERROR(INDEX('03.Muestra'!$C$8:$C$42,SMALL(IF("Página Web"='03.Muestra'!$D$8:$D$42,ROW('03.Muestra'!$C$8:$C$42)-MIN(ROW('03.Muestra'!$D$8:$D$42))+1,""),ROW()-1576)),"")</f>
        <v>Accesibilidad</v>
      </c>
      <c r="C1596" s="114" t="str" cm="1">
        <f t="array" ref="C1596">IFERROR(INDEX('03.Muestra'!$F$8:$F$42,SMALL(IF("Página Web"='03.Muestra'!$D$8:$D$42,ROW('03.Muestra'!$F$8:$F$42)-MIN(ROW('03.Muestra'!$D$8:$D$42))+1,""),ROW()-1576)),"")</f>
        <v>https://www.crtm.es/accesibilidad</v>
      </c>
      <c r="D1596" s="130" t="s">
        <v>25</v>
      </c>
      <c r="E1596" s="107" t="str">
        <f t="shared" si="82"/>
        <v/>
      </c>
      <c r="F1596" s="19"/>
      <c r="G1596" s="19"/>
      <c r="H1596" s="19"/>
      <c r="I1596" s="19"/>
      <c r="J1596" s="19"/>
      <c r="K1596" s="233"/>
      <c r="L1596" s="19"/>
    </row>
    <row r="1597" spans="1:12" ht="12" customHeight="1">
      <c r="A1597" s="219" cm="1">
        <f t="array" ref="A1597">IFERROR(INDEX('03.Muestra'!$B$8:$B$42,SMALL(IF("Página Web"='03.Muestra'!$D$8:$D$42,ROW('03.Muestra'!$B$8:$B$42)-MIN(ROW('03.Muestra'!$D$8:$D$42))+1,""),ROW()-1576)),"")</f>
        <v>21</v>
      </c>
      <c r="B1597" s="114" t="str" cm="1">
        <f t="array" ref="B1597">IFERROR(INDEX('03.Muestra'!$C$8:$C$42,SMALL(IF("Página Web"='03.Muestra'!$D$8:$D$42,ROW('03.Muestra'!$C$8:$C$42)-MIN(ROW('03.Muestra'!$D$8:$D$42))+1,""),ROW()-1576)),"")</f>
        <v>Modo accesible</v>
      </c>
      <c r="C1597" s="114" t="str" cm="1">
        <f t="array" ref="C1597">IFERROR(INDEX('03.Muestra'!$F$8:$F$42,SMALL(IF("Página Web"='03.Muestra'!$D$8:$D$42,ROW('03.Muestra'!$F$8:$F$42)-MIN(ROW('03.Muestra'!$D$8:$D$42))+1,""),ROW()-1576)),"")</f>
        <v>https://www.crtm.es/</v>
      </c>
      <c r="D1597" s="130" t="s">
        <v>34</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ref="D1598:D1611" si="83">IF(AND(B1598&lt;&gt;"",C1598&lt;&gt;""),"N/T","")</f>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https://www.crtm.es/</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Red de metro</v>
      </c>
      <c r="C1616" s="114" t="str" cm="1">
        <f t="array" ref="C1616">IFERROR(INDEX('03.Muestra'!$F$8:$F$42,SMALL(IF("Página Web"='03.Muestra'!$D$8:$D$42,ROW('03.Muestra'!$F$8:$F$42)-MIN(ROW('03.Muestra'!$D$8:$D$42))+1,""),ROW()-1614)),"")</f>
        <v>https://www.crtm.es/tu-transporte-publico/metro/</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20</v>
      </c>
      <c r="I1616" s="120">
        <f ca="1">COUNTIF($D1615:INDIRECT("$D" &amp;  SUM(ROW()-1,'03.Muestra'!$D$45)-1),I1615)</f>
        <v>1</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Líneas de metro</v>
      </c>
      <c r="C1617" s="114" t="str" cm="1">
        <f t="array" ref="C1617">IFERROR(INDEX('03.Muestra'!$F$8:$F$42,SMALL(IF("Página Web"='03.Muestra'!$D$8:$D$42,ROW('03.Muestra'!$F$8:$F$42)-MIN(ROW('03.Muestra'!$D$8:$D$42))+1,""),ROW()-1614)),"")</f>
        <v>https://www.crtm.es/tu-transporte-publico/metro/lineas/4__1___</v>
      </c>
      <c r="D1617" s="130" t="s">
        <v>34</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Estaciones Aeropuerto T1-T2-T3</v>
      </c>
      <c r="C1618" s="114" t="str" cm="1">
        <f t="array" ref="C1618">IFERROR(INDEX('03.Muestra'!$F$8:$F$42,SMALL(IF("Página Web"='03.Muestra'!$D$8:$D$42,ROW('03.Muestra'!$F$8:$F$42)-MIN(ROW('03.Muestra'!$D$8:$D$42))+1,""),ROW()-1614)),"")</f>
        <v>https://www.crtm.es/tu-transporte-publico/metro/estaciones/4_159</v>
      </c>
      <c r="D1618" s="130" t="s">
        <v>34</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Muévete por Madrid</v>
      </c>
      <c r="C1619" s="114" t="str" cm="1">
        <f t="array" ref="C1619">IFERROR(INDEX('03.Muestra'!$F$8:$F$42,SMALL(IF("Página Web"='03.Muestra'!$D$8:$D$42,ROW('03.Muestra'!$F$8:$F$42)-MIN(ROW('03.Muestra'!$D$8:$D$42))+1,""),ROW()-1614)),"")</f>
        <v>https://www.crtm.es/muevete-por-madrid/</v>
      </c>
      <c r="D1619" s="130" t="s">
        <v>34</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conexiones con aeropuerto y principales estaciones</v>
      </c>
      <c r="C1620" s="114" t="str" cm="1">
        <f t="array" ref="C1620">IFERROR(INDEX('03.Muestra'!$F$8:$F$42,SMALL(IF("Página Web"='03.Muestra'!$D$8:$D$42,ROW('03.Muestra'!$F$8:$F$42)-MIN(ROW('03.Muestra'!$D$8:$D$42))+1,""),ROW()-1614)),"")</f>
        <v xml:space="preserve">https://www.crtm.es/muevete-por-madrid/conexiones-con-aeropuerto-y-principales-estaciones/ </v>
      </c>
      <c r="D1620" s="130" t="s">
        <v>34</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Atención desplazados Ucranianos</v>
      </c>
      <c r="C1621" s="114" t="str" cm="1">
        <f t="array" ref="C1621">IFERROR(INDEX('03.Muestra'!$F$8:$F$42,SMALL(IF("Página Web"='03.Muestra'!$D$8:$D$42,ROW('03.Muestra'!$F$8:$F$42)-MIN(ROW('03.Muestra'!$D$8:$D$42))+1,""),ROW()-1614)),"")</f>
        <v>https://www.crtm.es/atencion-desplazados-ucranianos/#item3</v>
      </c>
      <c r="D1621" s="130" t="s">
        <v>34</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Preguntas frecuentes (Tarjeta transporte público personal)</v>
      </c>
      <c r="C1622" s="114" t="str" cm="1">
        <f t="array" ref="C1622">IFERROR(INDEX('03.Muestra'!$F$8:$F$42,SMALL(IF("Página Web"='03.Muestra'!$D$8:$D$42,ROW('03.Muestra'!$F$8:$F$42)-MIN(ROW('03.Muestra'!$D$8:$D$42))+1,""),ROW()-1614)),"")</f>
        <v xml:space="preserve"> https://www.crtm.es/billetes-y-tarifas/tarjeta-transporte-publico/preguntas-frecuentes/#item23</v>
      </c>
      <c r="D1622" s="130" t="s">
        <v>34</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Billetes y abonos (Metro)</v>
      </c>
      <c r="C1623" s="114" t="str" cm="1">
        <f t="array" ref="C1623">IFERROR(INDEX('03.Muestra'!$F$8:$F$42,SMALL(IF("Página Web"='03.Muestra'!$D$8:$D$42,ROW('03.Muestra'!$F$8:$F$42)-MIN(ROW('03.Muestra'!$D$8:$D$42))+1,""),ROW()-1614)),"")</f>
        <v>https://www.crtm.es/billetes-y-tarifas/billetes-y-abonos/metro/?idPestana=1&amp;lang=#item10</v>
      </c>
      <c r="D1623" s="130" t="s">
        <v>34</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Billetes y tarifas (App)</v>
      </c>
      <c r="C1624" s="114" t="str" cm="1">
        <f t="array" ref="C1624">IFERROR(INDEX('03.Muestra'!$F$8:$F$42,SMALL(IF("Página Web"='03.Muestra'!$D$8:$D$42,ROW('03.Muestra'!$F$8:$F$42)-MIN(ROW('03.Muestra'!$D$8:$D$42))+1,""),ROW()-1614)),"")</f>
        <v>https://www.crtm.es/billetes-y-tarifas/apps/</v>
      </c>
      <c r="D1624" s="130" t="s">
        <v>34</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Atención al cliente</v>
      </c>
      <c r="C1625" s="114" t="str" cm="1">
        <f t="array" ref="C1625">IFERROR(INDEX('03.Muestra'!$F$8:$F$42,SMALL(IF("Página Web"='03.Muestra'!$D$8:$D$42,ROW('03.Muestra'!$F$8:$F$42)-MIN(ROW('03.Muestra'!$D$8:$D$42))+1,""),ROW()-1614)),"")</f>
        <v>https://www.crtm.es/atencion-al-cliente/</v>
      </c>
      <c r="D1625" s="130" t="s">
        <v>34</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Conócenos</v>
      </c>
      <c r="C1626" s="114" t="str" cm="1">
        <f t="array" ref="C1626">IFERROR(INDEX('03.Muestra'!$F$8:$F$42,SMALL(IF("Página Web"='03.Muestra'!$D$8:$D$42,ROW('03.Muestra'!$F$8:$F$42)-MIN(ROW('03.Muestra'!$D$8:$D$42))+1,""),ROW()-1614)),"")</f>
        <v>https://www.crtm.es/conocenos/#CentrodeDocumentacion</v>
      </c>
      <c r="D1626" s="130" t="s">
        <v>34</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Actualidad del servicio</v>
      </c>
      <c r="C1627" s="114" t="str" cm="1">
        <f t="array" ref="C1627">IFERROR(INDEX('03.Muestra'!$F$8:$F$42,SMALL(IF("Página Web"='03.Muestra'!$D$8:$D$42,ROW('03.Muestra'!$F$8:$F$42)-MIN(ROW('03.Muestra'!$D$8:$D$42))+1,""),ROW()-1614)),"")</f>
        <v>https://www.crtm.es/comunicacion/actualidad-del-servicio/?idPestana=1&amp;lang=es</v>
      </c>
      <c r="D1627" s="130" t="s">
        <v>27</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Galería de fotos</v>
      </c>
      <c r="C1628" s="114" t="str" cm="1">
        <f t="array" ref="C1628">IFERROR(INDEX('03.Muestra'!$F$8:$F$42,SMALL(IF("Página Web"='03.Muestra'!$D$8:$D$42,ROW('03.Muestra'!$F$8:$F$42)-MIN(ROW('03.Muestra'!$D$8:$D$42))+1,""),ROW()-1614)),"")</f>
        <v>https://www.crtm.es/comunicacion/multimedia/galeria-de-fotos/</v>
      </c>
      <c r="D1628" s="130" t="s">
        <v>34</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Mapa web</v>
      </c>
      <c r="C1629" s="114" t="str" cm="1">
        <f t="array" ref="C1629">IFERROR(INDEX('03.Muestra'!$F$8:$F$42,SMALL(IF("Página Web"='03.Muestra'!$D$8:$D$42,ROW('03.Muestra'!$F$8:$F$42)-MIN(ROW('03.Muestra'!$D$8:$D$42))+1,""),ROW()-1614)),"")</f>
        <v>https://www.crtm.es/mapa-web</v>
      </c>
      <c r="D1629" s="130" t="s">
        <v>34</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Protección de datos</v>
      </c>
      <c r="C1630" s="114" t="str" cm="1">
        <f t="array" ref="C1630">IFERROR(INDEX('03.Muestra'!$F$8:$F$42,SMALL(IF("Página Web"='03.Muestra'!$D$8:$D$42,ROW('03.Muestra'!$F$8:$F$42)-MIN(ROW('03.Muestra'!$D$8:$D$42))+1,""),ROW()-1614)),"")</f>
        <v>https://www.crtm.es/proteccion-de-datos</v>
      </c>
      <c r="D1630" s="130" t="s">
        <v>34</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Política de cookies</v>
      </c>
      <c r="C1631" s="114" t="str" cm="1">
        <f t="array" ref="C1631">IFERROR(INDEX('03.Muestra'!$F$8:$F$42,SMALL(IF("Página Web"='03.Muestra'!$D$8:$D$42,ROW('03.Muestra'!$F$8:$F$42)-MIN(ROW('03.Muestra'!$D$8:$D$42))+1,""),ROW()-1614)),"")</f>
        <v>https://www.crtm.es/politica-de-cookies</v>
      </c>
      <c r="D1631" s="130" t="s">
        <v>34</v>
      </c>
      <c r="E1631" s="107" t="str">
        <f t="shared" si="84"/>
        <v/>
      </c>
      <c r="F1631" s="19"/>
      <c r="G1631" s="19"/>
      <c r="H1631" s="19"/>
      <c r="I1631" s="19"/>
      <c r="J1631" s="19"/>
      <c r="K1631" s="233"/>
    </row>
    <row r="1632" spans="1:11" ht="12" customHeight="1">
      <c r="A1632" s="219" cm="1">
        <f t="array" ref="A1632">IFERROR(INDEX('03.Muestra'!$B$8:$B$42,SMALL(IF("Página Web"='03.Muestra'!$D$8:$D$42,ROW('03.Muestra'!$B$8:$B$42)-MIN(ROW('03.Muestra'!$D$8:$D$42))+1,""),ROW()-1614)),"")</f>
        <v>18</v>
      </c>
      <c r="B1632" s="114" t="str" cm="1">
        <f t="array" ref="B1632">IFERROR(INDEX('03.Muestra'!$C$8:$C$42,SMALL(IF("Página Web"='03.Muestra'!$D$8:$D$42,ROW('03.Muestra'!$C$8:$C$42)-MIN(ROW('03.Muestra'!$D$8:$D$42))+1,""),ROW()-1614)),"")</f>
        <v>Aviso Legal</v>
      </c>
      <c r="C1632" s="114" t="str" cm="1">
        <f t="array" ref="C1632">IFERROR(INDEX('03.Muestra'!$F$8:$F$42,SMALL(IF("Página Web"='03.Muestra'!$D$8:$D$42,ROW('03.Muestra'!$F$8:$F$42)-MIN(ROW('03.Muestra'!$D$8:$D$42))+1,""),ROW()-1614)),"")</f>
        <v>https://www.crtm.es/aviso-legal</v>
      </c>
      <c r="D1632" s="130" t="s">
        <v>34</v>
      </c>
      <c r="E1632" s="107" t="str">
        <f t="shared" si="84"/>
        <v/>
      </c>
      <c r="F1632" s="19"/>
      <c r="G1632" s="19"/>
      <c r="H1632" s="19"/>
      <c r="I1632" s="19"/>
      <c r="J1632" s="19"/>
      <c r="K1632" s="233"/>
    </row>
    <row r="1633" spans="1:11" ht="12" customHeight="1">
      <c r="A1633" s="219" cm="1">
        <f t="array" ref="A1633">IFERROR(INDEX('03.Muestra'!$B$8:$B$42,SMALL(IF("Página Web"='03.Muestra'!$D$8:$D$42,ROW('03.Muestra'!$B$8:$B$42)-MIN(ROW('03.Muestra'!$D$8:$D$42))+1,""),ROW()-1614)),"")</f>
        <v>19</v>
      </c>
      <c r="B1633" s="114" t="str" cm="1">
        <f t="array" ref="B1633">IFERROR(INDEX('03.Muestra'!$C$8:$C$42,SMALL(IF("Página Web"='03.Muestra'!$D$8:$D$42,ROW('03.Muestra'!$C$8:$C$42)-MIN(ROW('03.Muestra'!$D$8:$D$42))+1,""),ROW()-1614)),"")</f>
        <v>Normativa</v>
      </c>
      <c r="C1633" s="114" t="str" cm="1">
        <f t="array" ref="C1633">IFERROR(INDEX('03.Muestra'!$F$8:$F$42,SMALL(IF("Página Web"='03.Muestra'!$D$8:$D$42,ROW('03.Muestra'!$F$8:$F$42)-MIN(ROW('03.Muestra'!$D$8:$D$42))+1,""),ROW()-1614)),"")</f>
        <v>https://www.crtm.es/normativa</v>
      </c>
      <c r="D1633" s="130" t="s">
        <v>34</v>
      </c>
      <c r="E1633" s="107" t="str">
        <f t="shared" si="84"/>
        <v/>
      </c>
      <c r="F1633" s="19"/>
      <c r="G1633" s="19"/>
      <c r="H1633" s="19"/>
      <c r="I1633" s="19"/>
      <c r="J1633" s="19"/>
      <c r="K1633" s="233"/>
    </row>
    <row r="1634" spans="1:11" ht="12" customHeight="1">
      <c r="A1634" s="219" cm="1">
        <f t="array" ref="A1634">IFERROR(INDEX('03.Muestra'!$B$8:$B$42,SMALL(IF("Página Web"='03.Muestra'!$D$8:$D$42,ROW('03.Muestra'!$B$8:$B$42)-MIN(ROW('03.Muestra'!$D$8:$D$42))+1,""),ROW()-1614)),"")</f>
        <v>20</v>
      </c>
      <c r="B1634" s="114" t="str" cm="1">
        <f t="array" ref="B1634">IFERROR(INDEX('03.Muestra'!$C$8:$C$42,SMALL(IF("Página Web"='03.Muestra'!$D$8:$D$42,ROW('03.Muestra'!$C$8:$C$42)-MIN(ROW('03.Muestra'!$D$8:$D$42))+1,""),ROW()-1614)),"")</f>
        <v>Accesibilidad</v>
      </c>
      <c r="C1634" s="114" t="str" cm="1">
        <f t="array" ref="C1634">IFERROR(INDEX('03.Muestra'!$F$8:$F$42,SMALL(IF("Página Web"='03.Muestra'!$D$8:$D$42,ROW('03.Muestra'!$F$8:$F$42)-MIN(ROW('03.Muestra'!$D$8:$D$42))+1,""),ROW()-1614)),"")</f>
        <v>https://www.crtm.es/accesibilidad</v>
      </c>
      <c r="D1634" s="130" t="s">
        <v>34</v>
      </c>
      <c r="E1634" s="107" t="str">
        <f t="shared" si="84"/>
        <v/>
      </c>
      <c r="F1634" s="19"/>
      <c r="G1634" s="19"/>
      <c r="H1634" s="19"/>
      <c r="I1634" s="19"/>
      <c r="J1634" s="19"/>
      <c r="K1634" s="233"/>
    </row>
    <row r="1635" spans="1:11" ht="12" customHeight="1">
      <c r="A1635" s="219" cm="1">
        <f t="array" ref="A1635">IFERROR(INDEX('03.Muestra'!$B$8:$B$42,SMALL(IF("Página Web"='03.Muestra'!$D$8:$D$42,ROW('03.Muestra'!$B$8:$B$42)-MIN(ROW('03.Muestra'!$D$8:$D$42))+1,""),ROW()-1614)),"")</f>
        <v>21</v>
      </c>
      <c r="B1635" s="114" t="str" cm="1">
        <f t="array" ref="B1635">IFERROR(INDEX('03.Muestra'!$C$8:$C$42,SMALL(IF("Página Web"='03.Muestra'!$D$8:$D$42,ROW('03.Muestra'!$C$8:$C$42)-MIN(ROW('03.Muestra'!$D$8:$D$42))+1,""),ROW()-1614)),"")</f>
        <v>Modo accesible</v>
      </c>
      <c r="C1635" s="114" t="str" cm="1">
        <f t="array" ref="C1635">IFERROR(INDEX('03.Muestra'!$F$8:$F$42,SMALL(IF("Página Web"='03.Muestra'!$D$8:$D$42,ROW('03.Muestra'!$F$8:$F$42)-MIN(ROW('03.Muestra'!$D$8:$D$42))+1,""),ROW()-1614)),"")</f>
        <v>https://www.crtm.es/</v>
      </c>
      <c r="D1635" s="130" t="s">
        <v>34</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ref="D1636:D1649" si="85">IF(AND(B1636&lt;&gt;"",C1636&lt;&gt;""),"N/T","")</f>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https://www.crtm.es/</v>
      </c>
      <c r="D1653" s="130" t="s">
        <v>25</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Red de metro</v>
      </c>
      <c r="C1654" s="114" t="str" cm="1">
        <f t="array" ref="C1654">IFERROR(INDEX('03.Muestra'!$F$8:$F$42,SMALL(IF("Página Web"='03.Muestra'!$D$8:$D$42,ROW('03.Muestra'!$F$8:$F$42)-MIN(ROW('03.Muestra'!$D$8:$D$42))+1,""),ROW()-1652)),"")</f>
        <v>https://www.crtm.es/tu-transporte-publico/metro/</v>
      </c>
      <c r="D1654" s="130" t="s">
        <v>25</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21</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Líneas de metro</v>
      </c>
      <c r="C1655" s="114" t="str" cm="1">
        <f t="array" ref="C1655">IFERROR(INDEX('03.Muestra'!$F$8:$F$42,SMALL(IF("Página Web"='03.Muestra'!$D$8:$D$42,ROW('03.Muestra'!$F$8:$F$42)-MIN(ROW('03.Muestra'!$D$8:$D$42))+1,""),ROW()-1652)),"")</f>
        <v>https://www.crtm.es/tu-transporte-publico/metro/lineas/4__1___</v>
      </c>
      <c r="D1655" s="130" t="s">
        <v>25</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Estaciones Aeropuerto T1-T2-T3</v>
      </c>
      <c r="C1656" s="114" t="str" cm="1">
        <f t="array" ref="C1656">IFERROR(INDEX('03.Muestra'!$F$8:$F$42,SMALL(IF("Página Web"='03.Muestra'!$D$8:$D$42,ROW('03.Muestra'!$F$8:$F$42)-MIN(ROW('03.Muestra'!$D$8:$D$42))+1,""),ROW()-1652)),"")</f>
        <v>https://www.crtm.es/tu-transporte-publico/metro/estaciones/4_159</v>
      </c>
      <c r="D1656" s="130" t="s">
        <v>25</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Muévete por Madrid</v>
      </c>
      <c r="C1657" s="114" t="str" cm="1">
        <f t="array" ref="C1657">IFERROR(INDEX('03.Muestra'!$F$8:$F$42,SMALL(IF("Página Web"='03.Muestra'!$D$8:$D$42,ROW('03.Muestra'!$F$8:$F$42)-MIN(ROW('03.Muestra'!$D$8:$D$42))+1,""),ROW()-1652)),"")</f>
        <v>https://www.crtm.es/muevete-por-madrid/</v>
      </c>
      <c r="D1657" s="130" t="s">
        <v>25</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conexiones con aeropuerto y principales estaciones</v>
      </c>
      <c r="C1658" s="114" t="str" cm="1">
        <f t="array" ref="C1658">IFERROR(INDEX('03.Muestra'!$F$8:$F$42,SMALL(IF("Página Web"='03.Muestra'!$D$8:$D$42,ROW('03.Muestra'!$F$8:$F$42)-MIN(ROW('03.Muestra'!$D$8:$D$42))+1,""),ROW()-1652)),"")</f>
        <v xml:space="preserve">https://www.crtm.es/muevete-por-madrid/conexiones-con-aeropuerto-y-principales-estaciones/ </v>
      </c>
      <c r="D1658" s="130" t="s">
        <v>25</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Atención desplazados Ucranianos</v>
      </c>
      <c r="C1659" s="114" t="str" cm="1">
        <f t="array" ref="C1659">IFERROR(INDEX('03.Muestra'!$F$8:$F$42,SMALL(IF("Página Web"='03.Muestra'!$D$8:$D$42,ROW('03.Muestra'!$F$8:$F$42)-MIN(ROW('03.Muestra'!$D$8:$D$42))+1,""),ROW()-1652)),"")</f>
        <v>https://www.crtm.es/atencion-desplazados-ucranianos/#item3</v>
      </c>
      <c r="D1659" s="130" t="s">
        <v>25</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Preguntas frecuentes (Tarjeta transporte público personal)</v>
      </c>
      <c r="C1660" s="114" t="str" cm="1">
        <f t="array" ref="C1660">IFERROR(INDEX('03.Muestra'!$F$8:$F$42,SMALL(IF("Página Web"='03.Muestra'!$D$8:$D$42,ROW('03.Muestra'!$F$8:$F$42)-MIN(ROW('03.Muestra'!$D$8:$D$42))+1,""),ROW()-1652)),"")</f>
        <v xml:space="preserve"> https://www.crtm.es/billetes-y-tarifas/tarjeta-transporte-publico/preguntas-frecuentes/#item23</v>
      </c>
      <c r="D1660" s="130" t="s">
        <v>25</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Billetes y abonos (Metro)</v>
      </c>
      <c r="C1661" s="114" t="str" cm="1">
        <f t="array" ref="C1661">IFERROR(INDEX('03.Muestra'!$F$8:$F$42,SMALL(IF("Página Web"='03.Muestra'!$D$8:$D$42,ROW('03.Muestra'!$F$8:$F$42)-MIN(ROW('03.Muestra'!$D$8:$D$42))+1,""),ROW()-1652)),"")</f>
        <v>https://www.crtm.es/billetes-y-tarifas/billetes-y-abonos/metro/?idPestana=1&amp;lang=#item10</v>
      </c>
      <c r="D1661" s="130" t="s">
        <v>25</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Billetes y tarifas (App)</v>
      </c>
      <c r="C1662" s="114" t="str" cm="1">
        <f t="array" ref="C1662">IFERROR(INDEX('03.Muestra'!$F$8:$F$42,SMALL(IF("Página Web"='03.Muestra'!$D$8:$D$42,ROW('03.Muestra'!$F$8:$F$42)-MIN(ROW('03.Muestra'!$D$8:$D$42))+1,""),ROW()-1652)),"")</f>
        <v>https://www.crtm.es/billetes-y-tarifas/apps/</v>
      </c>
      <c r="D1662" s="130" t="s">
        <v>25</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Atención al cliente</v>
      </c>
      <c r="C1663" s="114" t="str" cm="1">
        <f t="array" ref="C1663">IFERROR(INDEX('03.Muestra'!$F$8:$F$42,SMALL(IF("Página Web"='03.Muestra'!$D$8:$D$42,ROW('03.Muestra'!$F$8:$F$42)-MIN(ROW('03.Muestra'!$D$8:$D$42))+1,""),ROW()-1652)),"")</f>
        <v>https://www.crtm.es/atencion-al-cliente/</v>
      </c>
      <c r="D1663" s="130" t="s">
        <v>25</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Conócenos</v>
      </c>
      <c r="C1664" s="114" t="str" cm="1">
        <f t="array" ref="C1664">IFERROR(INDEX('03.Muestra'!$F$8:$F$42,SMALL(IF("Página Web"='03.Muestra'!$D$8:$D$42,ROW('03.Muestra'!$F$8:$F$42)-MIN(ROW('03.Muestra'!$D$8:$D$42))+1,""),ROW()-1652)),"")</f>
        <v>https://www.crtm.es/conocenos/#CentrodeDocumentacion</v>
      </c>
      <c r="D1664" s="130" t="s">
        <v>25</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Actualidad del servicio</v>
      </c>
      <c r="C1665" s="114" t="str" cm="1">
        <f t="array" ref="C1665">IFERROR(INDEX('03.Muestra'!$F$8:$F$42,SMALL(IF("Página Web"='03.Muestra'!$D$8:$D$42,ROW('03.Muestra'!$F$8:$F$42)-MIN(ROW('03.Muestra'!$D$8:$D$42))+1,""),ROW()-1652)),"")</f>
        <v>https://www.crtm.es/comunicacion/actualidad-del-servicio/?idPestana=1&amp;lang=es</v>
      </c>
      <c r="D1665" s="130" t="s">
        <v>25</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Galería de fotos</v>
      </c>
      <c r="C1666" s="114" t="str" cm="1">
        <f t="array" ref="C1666">IFERROR(INDEX('03.Muestra'!$F$8:$F$42,SMALL(IF("Página Web"='03.Muestra'!$D$8:$D$42,ROW('03.Muestra'!$F$8:$F$42)-MIN(ROW('03.Muestra'!$D$8:$D$42))+1,""),ROW()-1652)),"")</f>
        <v>https://www.crtm.es/comunicacion/multimedia/galeria-de-fotos/</v>
      </c>
      <c r="D1666" s="130" t="s">
        <v>25</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Mapa web</v>
      </c>
      <c r="C1667" s="114" t="str" cm="1">
        <f t="array" ref="C1667">IFERROR(INDEX('03.Muestra'!$F$8:$F$42,SMALL(IF("Página Web"='03.Muestra'!$D$8:$D$42,ROW('03.Muestra'!$F$8:$F$42)-MIN(ROW('03.Muestra'!$D$8:$D$42))+1,""),ROW()-1652)),"")</f>
        <v>https://www.crtm.es/mapa-web</v>
      </c>
      <c r="D1667" s="130" t="s">
        <v>25</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Protección de datos</v>
      </c>
      <c r="C1668" s="114" t="str" cm="1">
        <f t="array" ref="C1668">IFERROR(INDEX('03.Muestra'!$F$8:$F$42,SMALL(IF("Página Web"='03.Muestra'!$D$8:$D$42,ROW('03.Muestra'!$F$8:$F$42)-MIN(ROW('03.Muestra'!$D$8:$D$42))+1,""),ROW()-1652)),"")</f>
        <v>https://www.crtm.es/proteccion-de-datos</v>
      </c>
      <c r="D1668" s="130" t="s">
        <v>25</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Política de cookies</v>
      </c>
      <c r="C1669" s="114" t="str" cm="1">
        <f t="array" ref="C1669">IFERROR(INDEX('03.Muestra'!$F$8:$F$42,SMALL(IF("Página Web"='03.Muestra'!$D$8:$D$42,ROW('03.Muestra'!$F$8:$F$42)-MIN(ROW('03.Muestra'!$D$8:$D$42))+1,""),ROW()-1652)),"")</f>
        <v>https://www.crtm.es/politica-de-cookies</v>
      </c>
      <c r="D1669" s="130" t="s">
        <v>25</v>
      </c>
      <c r="E1669" s="107" t="str">
        <f t="shared" si="86"/>
        <v/>
      </c>
      <c r="F1669" s="19"/>
      <c r="G1669" s="19"/>
      <c r="H1669" s="19"/>
      <c r="I1669" s="19"/>
      <c r="J1669" s="19"/>
      <c r="K1669" s="233"/>
    </row>
    <row r="1670" spans="1:11" ht="12" customHeight="1">
      <c r="A1670" s="219" cm="1">
        <f t="array" ref="A1670">IFERROR(INDEX('03.Muestra'!$B$8:$B$42,SMALL(IF("Página Web"='03.Muestra'!$D$8:$D$42,ROW('03.Muestra'!$B$8:$B$42)-MIN(ROW('03.Muestra'!$D$8:$D$42))+1,""),ROW()-1652)),"")</f>
        <v>18</v>
      </c>
      <c r="B1670" s="114" t="str" cm="1">
        <f t="array" ref="B1670">IFERROR(INDEX('03.Muestra'!$C$8:$C$42,SMALL(IF("Página Web"='03.Muestra'!$D$8:$D$42,ROW('03.Muestra'!$C$8:$C$42)-MIN(ROW('03.Muestra'!$D$8:$D$42))+1,""),ROW()-1652)),"")</f>
        <v>Aviso Legal</v>
      </c>
      <c r="C1670" s="114" t="str" cm="1">
        <f t="array" ref="C1670">IFERROR(INDEX('03.Muestra'!$F$8:$F$42,SMALL(IF("Página Web"='03.Muestra'!$D$8:$D$42,ROW('03.Muestra'!$F$8:$F$42)-MIN(ROW('03.Muestra'!$D$8:$D$42))+1,""),ROW()-1652)),"")</f>
        <v>https://www.crtm.es/aviso-legal</v>
      </c>
      <c r="D1670" s="130" t="s">
        <v>25</v>
      </c>
      <c r="E1670" s="107" t="str">
        <f t="shared" si="86"/>
        <v/>
      </c>
      <c r="F1670" s="19"/>
      <c r="G1670" s="19"/>
      <c r="H1670" s="19"/>
      <c r="I1670" s="19"/>
      <c r="J1670" s="19"/>
      <c r="K1670" s="233"/>
    </row>
    <row r="1671" spans="1:11" ht="12" customHeight="1">
      <c r="A1671" s="219" cm="1">
        <f t="array" ref="A1671">IFERROR(INDEX('03.Muestra'!$B$8:$B$42,SMALL(IF("Página Web"='03.Muestra'!$D$8:$D$42,ROW('03.Muestra'!$B$8:$B$42)-MIN(ROW('03.Muestra'!$D$8:$D$42))+1,""),ROW()-1652)),"")</f>
        <v>19</v>
      </c>
      <c r="B1671" s="114" t="str" cm="1">
        <f t="array" ref="B1671">IFERROR(INDEX('03.Muestra'!$C$8:$C$42,SMALL(IF("Página Web"='03.Muestra'!$D$8:$D$42,ROW('03.Muestra'!$C$8:$C$42)-MIN(ROW('03.Muestra'!$D$8:$D$42))+1,""),ROW()-1652)),"")</f>
        <v>Normativa</v>
      </c>
      <c r="C1671" s="114" t="str" cm="1">
        <f t="array" ref="C1671">IFERROR(INDEX('03.Muestra'!$F$8:$F$42,SMALL(IF("Página Web"='03.Muestra'!$D$8:$D$42,ROW('03.Muestra'!$F$8:$F$42)-MIN(ROW('03.Muestra'!$D$8:$D$42))+1,""),ROW()-1652)),"")</f>
        <v>https://www.crtm.es/normativa</v>
      </c>
      <c r="D1671" s="130" t="s">
        <v>25</v>
      </c>
      <c r="E1671" s="107" t="str">
        <f t="shared" si="86"/>
        <v/>
      </c>
      <c r="F1671" s="19"/>
      <c r="G1671" s="19"/>
      <c r="H1671" s="19"/>
      <c r="I1671" s="19"/>
      <c r="J1671" s="19"/>
      <c r="K1671" s="233"/>
    </row>
    <row r="1672" spans="1:11" ht="12" customHeight="1">
      <c r="A1672" s="219" cm="1">
        <f t="array" ref="A1672">IFERROR(INDEX('03.Muestra'!$B$8:$B$42,SMALL(IF("Página Web"='03.Muestra'!$D$8:$D$42,ROW('03.Muestra'!$B$8:$B$42)-MIN(ROW('03.Muestra'!$D$8:$D$42))+1,""),ROW()-1652)),"")</f>
        <v>20</v>
      </c>
      <c r="B1672" s="114" t="str" cm="1">
        <f t="array" ref="B1672">IFERROR(INDEX('03.Muestra'!$C$8:$C$42,SMALL(IF("Página Web"='03.Muestra'!$D$8:$D$42,ROW('03.Muestra'!$C$8:$C$42)-MIN(ROW('03.Muestra'!$D$8:$D$42))+1,""),ROW()-1652)),"")</f>
        <v>Accesibilidad</v>
      </c>
      <c r="C1672" s="114" t="str" cm="1">
        <f t="array" ref="C1672">IFERROR(INDEX('03.Muestra'!$F$8:$F$42,SMALL(IF("Página Web"='03.Muestra'!$D$8:$D$42,ROW('03.Muestra'!$F$8:$F$42)-MIN(ROW('03.Muestra'!$D$8:$D$42))+1,""),ROW()-1652)),"")</f>
        <v>https://www.crtm.es/accesibilidad</v>
      </c>
      <c r="D1672" s="130" t="s">
        <v>25</v>
      </c>
      <c r="E1672" s="107" t="str">
        <f t="shared" si="86"/>
        <v/>
      </c>
      <c r="F1672" s="19"/>
      <c r="G1672" s="19"/>
      <c r="H1672" s="19"/>
      <c r="I1672" s="19"/>
      <c r="J1672" s="19"/>
      <c r="K1672" s="233"/>
    </row>
    <row r="1673" spans="1:11" ht="12" customHeight="1">
      <c r="A1673" s="219" cm="1">
        <f t="array" ref="A1673">IFERROR(INDEX('03.Muestra'!$B$8:$B$42,SMALL(IF("Página Web"='03.Muestra'!$D$8:$D$42,ROW('03.Muestra'!$B$8:$B$42)-MIN(ROW('03.Muestra'!$D$8:$D$42))+1,""),ROW()-1652)),"")</f>
        <v>21</v>
      </c>
      <c r="B1673" s="114" t="str" cm="1">
        <f t="array" ref="B1673">IFERROR(INDEX('03.Muestra'!$C$8:$C$42,SMALL(IF("Página Web"='03.Muestra'!$D$8:$D$42,ROW('03.Muestra'!$C$8:$C$42)-MIN(ROW('03.Muestra'!$D$8:$D$42))+1,""),ROW()-1652)),"")</f>
        <v>Modo accesible</v>
      </c>
      <c r="C1673" s="114" t="str" cm="1">
        <f t="array" ref="C1673">IFERROR(INDEX('03.Muestra'!$F$8:$F$42,SMALL(IF("Página Web"='03.Muestra'!$D$8:$D$42,ROW('03.Muestra'!$F$8:$F$42)-MIN(ROW('03.Muestra'!$D$8:$D$42))+1,""),ROW()-1652)),"")</f>
        <v>https://www.crtm.es/</v>
      </c>
      <c r="D1673" s="130" t="s">
        <v>25</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ref="D1674:D1687" si="87">IF(AND(B1674&lt;&gt;"",C1674&lt;&gt;""),"N/T","")</f>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https://www.crtm.es/</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Red de metro</v>
      </c>
      <c r="C1692" s="114" t="str" cm="1">
        <f t="array" ref="C1692">IFERROR(INDEX('03.Muestra'!$F$8:$F$42,SMALL(IF("Página Web"='03.Muestra'!$D$8:$D$42,ROW('03.Muestra'!$F$8:$F$42)-MIN(ROW('03.Muestra'!$D$8:$D$42))+1,""),ROW()-1690)),"")</f>
        <v>https://www.crtm.es/tu-transporte-publico/metro/</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20</v>
      </c>
      <c r="I1692" s="120">
        <f ca="1">COUNTIF($D1691:INDIRECT("$D" &amp;  SUM(ROW()-1,'03.Muestra'!$D$45)-1),I1691)</f>
        <v>1</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Líneas de metro</v>
      </c>
      <c r="C1693" s="114" t="str" cm="1">
        <f t="array" ref="C1693">IFERROR(INDEX('03.Muestra'!$F$8:$F$42,SMALL(IF("Página Web"='03.Muestra'!$D$8:$D$42,ROW('03.Muestra'!$F$8:$F$42)-MIN(ROW('03.Muestra'!$D$8:$D$42))+1,""),ROW()-1690)),"")</f>
        <v>https://www.crtm.es/tu-transporte-publico/metro/lineas/4__1___</v>
      </c>
      <c r="D1693" s="130" t="s">
        <v>34</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Estaciones Aeropuerto T1-T2-T3</v>
      </c>
      <c r="C1694" s="114" t="str" cm="1">
        <f t="array" ref="C1694">IFERROR(INDEX('03.Muestra'!$F$8:$F$42,SMALL(IF("Página Web"='03.Muestra'!$D$8:$D$42,ROW('03.Muestra'!$F$8:$F$42)-MIN(ROW('03.Muestra'!$D$8:$D$42))+1,""),ROW()-1690)),"")</f>
        <v>https://www.crtm.es/tu-transporte-publico/metro/estaciones/4_159</v>
      </c>
      <c r="D1694" s="130" t="s">
        <v>34</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Muévete por Madrid</v>
      </c>
      <c r="C1695" s="114" t="str" cm="1">
        <f t="array" ref="C1695">IFERROR(INDEX('03.Muestra'!$F$8:$F$42,SMALL(IF("Página Web"='03.Muestra'!$D$8:$D$42,ROW('03.Muestra'!$F$8:$F$42)-MIN(ROW('03.Muestra'!$D$8:$D$42))+1,""),ROW()-1690)),"")</f>
        <v>https://www.crtm.es/muevete-por-madrid/</v>
      </c>
      <c r="D1695" s="130" t="s">
        <v>34</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conexiones con aeropuerto y principales estaciones</v>
      </c>
      <c r="C1696" s="114" t="str" cm="1">
        <f t="array" ref="C1696">IFERROR(INDEX('03.Muestra'!$F$8:$F$42,SMALL(IF("Página Web"='03.Muestra'!$D$8:$D$42,ROW('03.Muestra'!$F$8:$F$42)-MIN(ROW('03.Muestra'!$D$8:$D$42))+1,""),ROW()-1690)),"")</f>
        <v xml:space="preserve">https://www.crtm.es/muevete-por-madrid/conexiones-con-aeropuerto-y-principales-estaciones/ </v>
      </c>
      <c r="D1696" s="130" t="s">
        <v>34</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Atención desplazados Ucranianos</v>
      </c>
      <c r="C1697" s="114" t="str" cm="1">
        <f t="array" ref="C1697">IFERROR(INDEX('03.Muestra'!$F$8:$F$42,SMALL(IF("Página Web"='03.Muestra'!$D$8:$D$42,ROW('03.Muestra'!$F$8:$F$42)-MIN(ROW('03.Muestra'!$D$8:$D$42))+1,""),ROW()-1690)),"")</f>
        <v>https://www.crtm.es/atencion-desplazados-ucranianos/#item3</v>
      </c>
      <c r="D1697" s="130" t="s">
        <v>34</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Preguntas frecuentes (Tarjeta transporte público personal)</v>
      </c>
      <c r="C1698" s="114" t="str" cm="1">
        <f t="array" ref="C1698">IFERROR(INDEX('03.Muestra'!$F$8:$F$42,SMALL(IF("Página Web"='03.Muestra'!$D$8:$D$42,ROW('03.Muestra'!$F$8:$F$42)-MIN(ROW('03.Muestra'!$D$8:$D$42))+1,""),ROW()-1690)),"")</f>
        <v xml:space="preserve"> https://www.crtm.es/billetes-y-tarifas/tarjeta-transporte-publico/preguntas-frecuentes/#item23</v>
      </c>
      <c r="D1698" s="130" t="s">
        <v>34</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Billetes y abonos (Metro)</v>
      </c>
      <c r="C1699" s="114" t="str" cm="1">
        <f t="array" ref="C1699">IFERROR(INDEX('03.Muestra'!$F$8:$F$42,SMALL(IF("Página Web"='03.Muestra'!$D$8:$D$42,ROW('03.Muestra'!$F$8:$F$42)-MIN(ROW('03.Muestra'!$D$8:$D$42))+1,""),ROW()-1690)),"")</f>
        <v>https://www.crtm.es/billetes-y-tarifas/billetes-y-abonos/metro/?idPestana=1&amp;lang=#item10</v>
      </c>
      <c r="D1699" s="130" t="s">
        <v>34</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Billetes y tarifas (App)</v>
      </c>
      <c r="C1700" s="114" t="str" cm="1">
        <f t="array" ref="C1700">IFERROR(INDEX('03.Muestra'!$F$8:$F$42,SMALL(IF("Página Web"='03.Muestra'!$D$8:$D$42,ROW('03.Muestra'!$F$8:$F$42)-MIN(ROW('03.Muestra'!$D$8:$D$42))+1,""),ROW()-1690)),"")</f>
        <v>https://www.crtm.es/billetes-y-tarifas/apps/</v>
      </c>
      <c r="D1700" s="130" t="s">
        <v>34</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Atención al cliente</v>
      </c>
      <c r="C1701" s="114" t="str" cm="1">
        <f t="array" ref="C1701">IFERROR(INDEX('03.Muestra'!$F$8:$F$42,SMALL(IF("Página Web"='03.Muestra'!$D$8:$D$42,ROW('03.Muestra'!$F$8:$F$42)-MIN(ROW('03.Muestra'!$D$8:$D$42))+1,""),ROW()-1690)),"")</f>
        <v>https://www.crtm.es/atencion-al-cliente/</v>
      </c>
      <c r="D1701" s="130" t="s">
        <v>34</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Conócenos</v>
      </c>
      <c r="C1702" s="114" t="str" cm="1">
        <f t="array" ref="C1702">IFERROR(INDEX('03.Muestra'!$F$8:$F$42,SMALL(IF("Página Web"='03.Muestra'!$D$8:$D$42,ROW('03.Muestra'!$F$8:$F$42)-MIN(ROW('03.Muestra'!$D$8:$D$42))+1,""),ROW()-1690)),"")</f>
        <v>https://www.crtm.es/conocenos/#CentrodeDocumentacion</v>
      </c>
      <c r="D1702" s="130" t="s">
        <v>34</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Actualidad del servicio</v>
      </c>
      <c r="C1703" s="114" t="str" cm="1">
        <f t="array" ref="C1703">IFERROR(INDEX('03.Muestra'!$F$8:$F$42,SMALL(IF("Página Web"='03.Muestra'!$D$8:$D$42,ROW('03.Muestra'!$F$8:$F$42)-MIN(ROW('03.Muestra'!$D$8:$D$42))+1,""),ROW()-1690)),"")</f>
        <v>https://www.crtm.es/comunicacion/actualidad-del-servicio/?idPestana=1&amp;lang=es</v>
      </c>
      <c r="D1703" s="130" t="s">
        <v>27</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Galería de fotos</v>
      </c>
      <c r="C1704" s="114" t="str" cm="1">
        <f t="array" ref="C1704">IFERROR(INDEX('03.Muestra'!$F$8:$F$42,SMALL(IF("Página Web"='03.Muestra'!$D$8:$D$42,ROW('03.Muestra'!$F$8:$F$42)-MIN(ROW('03.Muestra'!$D$8:$D$42))+1,""),ROW()-1690)),"")</f>
        <v>https://www.crtm.es/comunicacion/multimedia/galeria-de-fotos/</v>
      </c>
      <c r="D1704" s="130" t="s">
        <v>34</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Mapa web</v>
      </c>
      <c r="C1705" s="114" t="str" cm="1">
        <f t="array" ref="C1705">IFERROR(INDEX('03.Muestra'!$F$8:$F$42,SMALL(IF("Página Web"='03.Muestra'!$D$8:$D$42,ROW('03.Muestra'!$F$8:$F$42)-MIN(ROW('03.Muestra'!$D$8:$D$42))+1,""),ROW()-1690)),"")</f>
        <v>https://www.crtm.es/mapa-web</v>
      </c>
      <c r="D1705" s="130" t="s">
        <v>34</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Protección de datos</v>
      </c>
      <c r="C1706" s="114" t="str" cm="1">
        <f t="array" ref="C1706">IFERROR(INDEX('03.Muestra'!$F$8:$F$42,SMALL(IF("Página Web"='03.Muestra'!$D$8:$D$42,ROW('03.Muestra'!$F$8:$F$42)-MIN(ROW('03.Muestra'!$D$8:$D$42))+1,""),ROW()-1690)),"")</f>
        <v>https://www.crtm.es/proteccion-de-datos</v>
      </c>
      <c r="D1706" s="130" t="s">
        <v>34</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Política de cookies</v>
      </c>
      <c r="C1707" s="114" t="str" cm="1">
        <f t="array" ref="C1707">IFERROR(INDEX('03.Muestra'!$F$8:$F$42,SMALL(IF("Página Web"='03.Muestra'!$D$8:$D$42,ROW('03.Muestra'!$F$8:$F$42)-MIN(ROW('03.Muestra'!$D$8:$D$42))+1,""),ROW()-1690)),"")</f>
        <v>https://www.crtm.es/politica-de-cookies</v>
      </c>
      <c r="D1707" s="130" t="s">
        <v>34</v>
      </c>
      <c r="E1707" s="107" t="str">
        <f t="shared" si="88"/>
        <v/>
      </c>
      <c r="F1707" s="19"/>
      <c r="G1707" s="19"/>
      <c r="H1707" s="19"/>
      <c r="I1707" s="19"/>
      <c r="J1707" s="19"/>
      <c r="K1707" s="233"/>
    </row>
    <row r="1708" spans="1:11" ht="12" customHeight="1">
      <c r="A1708" s="219" cm="1">
        <f t="array" ref="A1708">IFERROR(INDEX('03.Muestra'!$B$8:$B$42,SMALL(IF("Página Web"='03.Muestra'!$D$8:$D$42,ROW('03.Muestra'!$B$8:$B$42)-MIN(ROW('03.Muestra'!$D$8:$D$42))+1,""),ROW()-1690)),"")</f>
        <v>18</v>
      </c>
      <c r="B1708" s="114" t="str" cm="1">
        <f t="array" ref="B1708">IFERROR(INDEX('03.Muestra'!$C$8:$C$42,SMALL(IF("Página Web"='03.Muestra'!$D$8:$D$42,ROW('03.Muestra'!$C$8:$C$42)-MIN(ROW('03.Muestra'!$D$8:$D$42))+1,""),ROW()-1690)),"")</f>
        <v>Aviso Legal</v>
      </c>
      <c r="C1708" s="114" t="str" cm="1">
        <f t="array" ref="C1708">IFERROR(INDEX('03.Muestra'!$F$8:$F$42,SMALL(IF("Página Web"='03.Muestra'!$D$8:$D$42,ROW('03.Muestra'!$F$8:$F$42)-MIN(ROW('03.Muestra'!$D$8:$D$42))+1,""),ROW()-1690)),"")</f>
        <v>https://www.crtm.es/aviso-legal</v>
      </c>
      <c r="D1708" s="130" t="s">
        <v>34</v>
      </c>
      <c r="E1708" s="107" t="str">
        <f t="shared" si="88"/>
        <v/>
      </c>
      <c r="F1708" s="19"/>
      <c r="G1708" s="19"/>
      <c r="H1708" s="19"/>
      <c r="I1708" s="19"/>
      <c r="J1708" s="19"/>
      <c r="K1708" s="233"/>
    </row>
    <row r="1709" spans="1:11" ht="12" customHeight="1">
      <c r="A1709" s="219" cm="1">
        <f t="array" ref="A1709">IFERROR(INDEX('03.Muestra'!$B$8:$B$42,SMALL(IF("Página Web"='03.Muestra'!$D$8:$D$42,ROW('03.Muestra'!$B$8:$B$42)-MIN(ROW('03.Muestra'!$D$8:$D$42))+1,""),ROW()-1690)),"")</f>
        <v>19</v>
      </c>
      <c r="B1709" s="114" t="str" cm="1">
        <f t="array" ref="B1709">IFERROR(INDEX('03.Muestra'!$C$8:$C$42,SMALL(IF("Página Web"='03.Muestra'!$D$8:$D$42,ROW('03.Muestra'!$C$8:$C$42)-MIN(ROW('03.Muestra'!$D$8:$D$42))+1,""),ROW()-1690)),"")</f>
        <v>Normativa</v>
      </c>
      <c r="C1709" s="114" t="str" cm="1">
        <f t="array" ref="C1709">IFERROR(INDEX('03.Muestra'!$F$8:$F$42,SMALL(IF("Página Web"='03.Muestra'!$D$8:$D$42,ROW('03.Muestra'!$F$8:$F$42)-MIN(ROW('03.Muestra'!$D$8:$D$42))+1,""),ROW()-1690)),"")</f>
        <v>https://www.crtm.es/normativa</v>
      </c>
      <c r="D1709" s="130" t="s">
        <v>34</v>
      </c>
      <c r="E1709" s="107" t="str">
        <f t="shared" si="88"/>
        <v/>
      </c>
      <c r="F1709" s="19"/>
      <c r="G1709" s="19"/>
      <c r="H1709" s="19"/>
      <c r="I1709" s="19"/>
      <c r="J1709" s="19"/>
      <c r="K1709" s="233"/>
    </row>
    <row r="1710" spans="1:11" ht="12" customHeight="1">
      <c r="A1710" s="219" cm="1">
        <f t="array" ref="A1710">IFERROR(INDEX('03.Muestra'!$B$8:$B$42,SMALL(IF("Página Web"='03.Muestra'!$D$8:$D$42,ROW('03.Muestra'!$B$8:$B$42)-MIN(ROW('03.Muestra'!$D$8:$D$42))+1,""),ROW()-1690)),"")</f>
        <v>20</v>
      </c>
      <c r="B1710" s="114" t="str" cm="1">
        <f t="array" ref="B1710">IFERROR(INDEX('03.Muestra'!$C$8:$C$42,SMALL(IF("Página Web"='03.Muestra'!$D$8:$D$42,ROW('03.Muestra'!$C$8:$C$42)-MIN(ROW('03.Muestra'!$D$8:$D$42))+1,""),ROW()-1690)),"")</f>
        <v>Accesibilidad</v>
      </c>
      <c r="C1710" s="114" t="str" cm="1">
        <f t="array" ref="C1710">IFERROR(INDEX('03.Muestra'!$F$8:$F$42,SMALL(IF("Página Web"='03.Muestra'!$D$8:$D$42,ROW('03.Muestra'!$F$8:$F$42)-MIN(ROW('03.Muestra'!$D$8:$D$42))+1,""),ROW()-1690)),"")</f>
        <v>https://www.crtm.es/accesibilidad</v>
      </c>
      <c r="D1710" s="130" t="s">
        <v>34</v>
      </c>
      <c r="E1710" s="107" t="str">
        <f t="shared" si="88"/>
        <v/>
      </c>
      <c r="F1710" s="19"/>
      <c r="G1710" s="19"/>
      <c r="H1710" s="19"/>
      <c r="I1710" s="19"/>
      <c r="J1710" s="19"/>
      <c r="K1710" s="233"/>
    </row>
    <row r="1711" spans="1:11" ht="12" customHeight="1">
      <c r="A1711" s="219" cm="1">
        <f t="array" ref="A1711">IFERROR(INDEX('03.Muestra'!$B$8:$B$42,SMALL(IF("Página Web"='03.Muestra'!$D$8:$D$42,ROW('03.Muestra'!$B$8:$B$42)-MIN(ROW('03.Muestra'!$D$8:$D$42))+1,""),ROW()-1690)),"")</f>
        <v>21</v>
      </c>
      <c r="B1711" s="114" t="str" cm="1">
        <f t="array" ref="B1711">IFERROR(INDEX('03.Muestra'!$C$8:$C$42,SMALL(IF("Página Web"='03.Muestra'!$D$8:$D$42,ROW('03.Muestra'!$C$8:$C$42)-MIN(ROW('03.Muestra'!$D$8:$D$42))+1,""),ROW()-1690)),"")</f>
        <v>Modo accesible</v>
      </c>
      <c r="C1711" s="114" t="str" cm="1">
        <f t="array" ref="C1711">IFERROR(INDEX('03.Muestra'!$F$8:$F$42,SMALL(IF("Página Web"='03.Muestra'!$D$8:$D$42,ROW('03.Muestra'!$F$8:$F$42)-MIN(ROW('03.Muestra'!$D$8:$D$42))+1,""),ROW()-1690)),"")</f>
        <v>https://www.crtm.es/</v>
      </c>
      <c r="D1711" s="130" t="s">
        <v>34</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ref="D1712:D1725" si="89">IF(AND(B1712&lt;&gt;"",C1712&lt;&gt;""),"N/T","")</f>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https://www.crtm.es/</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Red de metro</v>
      </c>
      <c r="C1730" s="114" t="str" cm="1">
        <f t="array" ref="C1730">IFERROR(INDEX('03.Muestra'!$F$8:$F$42,SMALL(IF("Página Web"='03.Muestra'!$D$8:$D$42,ROW('03.Muestra'!$F$8:$F$42)-MIN(ROW('03.Muestra'!$D$8:$D$42))+1,""),ROW()-1728)),"")</f>
        <v>https://www.crtm.es/tu-transporte-publico/metro/</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21</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Líneas de metro</v>
      </c>
      <c r="C1731" s="114" t="str" cm="1">
        <f t="array" ref="C1731">IFERROR(INDEX('03.Muestra'!$F$8:$F$42,SMALL(IF("Página Web"='03.Muestra'!$D$8:$D$42,ROW('03.Muestra'!$F$8:$F$42)-MIN(ROW('03.Muestra'!$D$8:$D$42))+1,""),ROW()-1728)),"")</f>
        <v>https://www.crtm.es/tu-transporte-publico/metro/lineas/4__1___</v>
      </c>
      <c r="D1731" s="130" t="s">
        <v>34</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Estaciones Aeropuerto T1-T2-T3</v>
      </c>
      <c r="C1732" s="114" t="str" cm="1">
        <f t="array" ref="C1732">IFERROR(INDEX('03.Muestra'!$F$8:$F$42,SMALL(IF("Página Web"='03.Muestra'!$D$8:$D$42,ROW('03.Muestra'!$F$8:$F$42)-MIN(ROW('03.Muestra'!$D$8:$D$42))+1,""),ROW()-1728)),"")</f>
        <v>https://www.crtm.es/tu-transporte-publico/metro/estaciones/4_159</v>
      </c>
      <c r="D1732" s="130" t="s">
        <v>34</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Muévete por Madrid</v>
      </c>
      <c r="C1733" s="114" t="str" cm="1">
        <f t="array" ref="C1733">IFERROR(INDEX('03.Muestra'!$F$8:$F$42,SMALL(IF("Página Web"='03.Muestra'!$D$8:$D$42,ROW('03.Muestra'!$F$8:$F$42)-MIN(ROW('03.Muestra'!$D$8:$D$42))+1,""),ROW()-1728)),"")</f>
        <v>https://www.crtm.es/muevete-por-madrid/</v>
      </c>
      <c r="D1733" s="130" t="s">
        <v>34</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conexiones con aeropuerto y principales estaciones</v>
      </c>
      <c r="C1734" s="114" t="str" cm="1">
        <f t="array" ref="C1734">IFERROR(INDEX('03.Muestra'!$F$8:$F$42,SMALL(IF("Página Web"='03.Muestra'!$D$8:$D$42,ROW('03.Muestra'!$F$8:$F$42)-MIN(ROW('03.Muestra'!$D$8:$D$42))+1,""),ROW()-1728)),"")</f>
        <v xml:space="preserve">https://www.crtm.es/muevete-por-madrid/conexiones-con-aeropuerto-y-principales-estaciones/ </v>
      </c>
      <c r="D1734" s="130" t="s">
        <v>34</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Atención desplazados Ucranianos</v>
      </c>
      <c r="C1735" s="114" t="str" cm="1">
        <f t="array" ref="C1735">IFERROR(INDEX('03.Muestra'!$F$8:$F$42,SMALL(IF("Página Web"='03.Muestra'!$D$8:$D$42,ROW('03.Muestra'!$F$8:$F$42)-MIN(ROW('03.Muestra'!$D$8:$D$42))+1,""),ROW()-1728)),"")</f>
        <v>https://www.crtm.es/atencion-desplazados-ucranianos/#item3</v>
      </c>
      <c r="D1735" s="130" t="s">
        <v>34</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Preguntas frecuentes (Tarjeta transporte público personal)</v>
      </c>
      <c r="C1736" s="114" t="str" cm="1">
        <f t="array" ref="C1736">IFERROR(INDEX('03.Muestra'!$F$8:$F$42,SMALL(IF("Página Web"='03.Muestra'!$D$8:$D$42,ROW('03.Muestra'!$F$8:$F$42)-MIN(ROW('03.Muestra'!$D$8:$D$42))+1,""),ROW()-1728)),"")</f>
        <v xml:space="preserve"> https://www.crtm.es/billetes-y-tarifas/tarjeta-transporte-publico/preguntas-frecuentes/#item23</v>
      </c>
      <c r="D1736" s="130" t="s">
        <v>34</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Billetes y abonos (Metro)</v>
      </c>
      <c r="C1737" s="114" t="str" cm="1">
        <f t="array" ref="C1737">IFERROR(INDEX('03.Muestra'!$F$8:$F$42,SMALL(IF("Página Web"='03.Muestra'!$D$8:$D$42,ROW('03.Muestra'!$F$8:$F$42)-MIN(ROW('03.Muestra'!$D$8:$D$42))+1,""),ROW()-1728)),"")</f>
        <v>https://www.crtm.es/billetes-y-tarifas/billetes-y-abonos/metro/?idPestana=1&amp;lang=#item10</v>
      </c>
      <c r="D1737" s="130" t="s">
        <v>34</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Billetes y tarifas (App)</v>
      </c>
      <c r="C1738" s="114" t="str" cm="1">
        <f t="array" ref="C1738">IFERROR(INDEX('03.Muestra'!$F$8:$F$42,SMALL(IF("Página Web"='03.Muestra'!$D$8:$D$42,ROW('03.Muestra'!$F$8:$F$42)-MIN(ROW('03.Muestra'!$D$8:$D$42))+1,""),ROW()-1728)),"")</f>
        <v>https://www.crtm.es/billetes-y-tarifas/apps/</v>
      </c>
      <c r="D1738" s="130" t="s">
        <v>34</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Atención al cliente</v>
      </c>
      <c r="C1739" s="114" t="str" cm="1">
        <f t="array" ref="C1739">IFERROR(INDEX('03.Muestra'!$F$8:$F$42,SMALL(IF("Página Web"='03.Muestra'!$D$8:$D$42,ROW('03.Muestra'!$F$8:$F$42)-MIN(ROW('03.Muestra'!$D$8:$D$42))+1,""),ROW()-1728)),"")</f>
        <v>https://www.crtm.es/atencion-al-cliente/</v>
      </c>
      <c r="D1739" s="130" t="s">
        <v>34</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Conócenos</v>
      </c>
      <c r="C1740" s="114" t="str" cm="1">
        <f t="array" ref="C1740">IFERROR(INDEX('03.Muestra'!$F$8:$F$42,SMALL(IF("Página Web"='03.Muestra'!$D$8:$D$42,ROW('03.Muestra'!$F$8:$F$42)-MIN(ROW('03.Muestra'!$D$8:$D$42))+1,""),ROW()-1728)),"")</f>
        <v>https://www.crtm.es/conocenos/#CentrodeDocumentacion</v>
      </c>
      <c r="D1740" s="130" t="s">
        <v>34</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Actualidad del servicio</v>
      </c>
      <c r="C1741" s="114" t="str" cm="1">
        <f t="array" ref="C1741">IFERROR(INDEX('03.Muestra'!$F$8:$F$42,SMALL(IF("Página Web"='03.Muestra'!$D$8:$D$42,ROW('03.Muestra'!$F$8:$F$42)-MIN(ROW('03.Muestra'!$D$8:$D$42))+1,""),ROW()-1728)),"")</f>
        <v>https://www.crtm.es/comunicacion/actualidad-del-servicio/?idPestana=1&amp;lang=es</v>
      </c>
      <c r="D1741" s="130" t="s">
        <v>34</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Galería de fotos</v>
      </c>
      <c r="C1742" s="114" t="str" cm="1">
        <f t="array" ref="C1742">IFERROR(INDEX('03.Muestra'!$F$8:$F$42,SMALL(IF("Página Web"='03.Muestra'!$D$8:$D$42,ROW('03.Muestra'!$F$8:$F$42)-MIN(ROW('03.Muestra'!$D$8:$D$42))+1,""),ROW()-1728)),"")</f>
        <v>https://www.crtm.es/comunicacion/multimedia/galeria-de-fotos/</v>
      </c>
      <c r="D1742" s="130" t="s">
        <v>34</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Mapa web</v>
      </c>
      <c r="C1743" s="114" t="str" cm="1">
        <f t="array" ref="C1743">IFERROR(INDEX('03.Muestra'!$F$8:$F$42,SMALL(IF("Página Web"='03.Muestra'!$D$8:$D$42,ROW('03.Muestra'!$F$8:$F$42)-MIN(ROW('03.Muestra'!$D$8:$D$42))+1,""),ROW()-1728)),"")</f>
        <v>https://www.crtm.es/mapa-web</v>
      </c>
      <c r="D1743" s="130" t="s">
        <v>34</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Protección de datos</v>
      </c>
      <c r="C1744" s="114" t="str" cm="1">
        <f t="array" ref="C1744">IFERROR(INDEX('03.Muestra'!$F$8:$F$42,SMALL(IF("Página Web"='03.Muestra'!$D$8:$D$42,ROW('03.Muestra'!$F$8:$F$42)-MIN(ROW('03.Muestra'!$D$8:$D$42))+1,""),ROW()-1728)),"")</f>
        <v>https://www.crtm.es/proteccion-de-datos</v>
      </c>
      <c r="D1744" s="130" t="s">
        <v>34</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Política de cookies</v>
      </c>
      <c r="C1745" s="114" t="str" cm="1">
        <f t="array" ref="C1745">IFERROR(INDEX('03.Muestra'!$F$8:$F$42,SMALL(IF("Página Web"='03.Muestra'!$D$8:$D$42,ROW('03.Muestra'!$F$8:$F$42)-MIN(ROW('03.Muestra'!$D$8:$D$42))+1,""),ROW()-1728)),"")</f>
        <v>https://www.crtm.es/politica-de-cookies</v>
      </c>
      <c r="D1745" s="130" t="s">
        <v>34</v>
      </c>
      <c r="E1745" s="107" t="str">
        <f t="shared" si="90"/>
        <v/>
      </c>
      <c r="F1745" s="19"/>
      <c r="G1745" s="19"/>
      <c r="H1745" s="19"/>
      <c r="I1745" s="19"/>
      <c r="J1745" s="19"/>
      <c r="K1745" s="233"/>
    </row>
    <row r="1746" spans="1:11" ht="12" customHeight="1">
      <c r="A1746" s="219" cm="1">
        <f t="array" ref="A1746">IFERROR(INDEX('03.Muestra'!$B$8:$B$42,SMALL(IF("Página Web"='03.Muestra'!$D$8:$D$42,ROW('03.Muestra'!$B$8:$B$42)-MIN(ROW('03.Muestra'!$D$8:$D$42))+1,""),ROW()-1728)),"")</f>
        <v>18</v>
      </c>
      <c r="B1746" s="114" t="str" cm="1">
        <f t="array" ref="B1746">IFERROR(INDEX('03.Muestra'!$C$8:$C$42,SMALL(IF("Página Web"='03.Muestra'!$D$8:$D$42,ROW('03.Muestra'!$C$8:$C$42)-MIN(ROW('03.Muestra'!$D$8:$D$42))+1,""),ROW()-1728)),"")</f>
        <v>Aviso Legal</v>
      </c>
      <c r="C1746" s="114" t="str" cm="1">
        <f t="array" ref="C1746">IFERROR(INDEX('03.Muestra'!$F$8:$F$42,SMALL(IF("Página Web"='03.Muestra'!$D$8:$D$42,ROW('03.Muestra'!$F$8:$F$42)-MIN(ROW('03.Muestra'!$D$8:$D$42))+1,""),ROW()-1728)),"")</f>
        <v>https://www.crtm.es/aviso-legal</v>
      </c>
      <c r="D1746" s="130" t="s">
        <v>34</v>
      </c>
      <c r="E1746" s="107" t="str">
        <f t="shared" si="90"/>
        <v/>
      </c>
      <c r="F1746" s="19"/>
      <c r="G1746" s="19"/>
      <c r="H1746" s="19"/>
      <c r="I1746" s="19"/>
      <c r="J1746" s="19"/>
      <c r="K1746" s="233"/>
    </row>
    <row r="1747" spans="1:11" ht="12" customHeight="1">
      <c r="A1747" s="219" cm="1">
        <f t="array" ref="A1747">IFERROR(INDEX('03.Muestra'!$B$8:$B$42,SMALL(IF("Página Web"='03.Muestra'!$D$8:$D$42,ROW('03.Muestra'!$B$8:$B$42)-MIN(ROW('03.Muestra'!$D$8:$D$42))+1,""),ROW()-1728)),"")</f>
        <v>19</v>
      </c>
      <c r="B1747" s="114" t="str" cm="1">
        <f t="array" ref="B1747">IFERROR(INDEX('03.Muestra'!$C$8:$C$42,SMALL(IF("Página Web"='03.Muestra'!$D$8:$D$42,ROW('03.Muestra'!$C$8:$C$42)-MIN(ROW('03.Muestra'!$D$8:$D$42))+1,""),ROW()-1728)),"")</f>
        <v>Normativa</v>
      </c>
      <c r="C1747" s="114" t="str" cm="1">
        <f t="array" ref="C1747">IFERROR(INDEX('03.Muestra'!$F$8:$F$42,SMALL(IF("Página Web"='03.Muestra'!$D$8:$D$42,ROW('03.Muestra'!$F$8:$F$42)-MIN(ROW('03.Muestra'!$D$8:$D$42))+1,""),ROW()-1728)),"")</f>
        <v>https://www.crtm.es/normativa</v>
      </c>
      <c r="D1747" s="130" t="s">
        <v>34</v>
      </c>
      <c r="E1747" s="107" t="str">
        <f t="shared" si="90"/>
        <v/>
      </c>
      <c r="F1747" s="19"/>
      <c r="G1747" s="19"/>
      <c r="H1747" s="19"/>
      <c r="I1747" s="19"/>
      <c r="J1747" s="19"/>
      <c r="K1747" s="233"/>
    </row>
    <row r="1748" spans="1:11" ht="12" customHeight="1">
      <c r="A1748" s="219" cm="1">
        <f t="array" ref="A1748">IFERROR(INDEX('03.Muestra'!$B$8:$B$42,SMALL(IF("Página Web"='03.Muestra'!$D$8:$D$42,ROW('03.Muestra'!$B$8:$B$42)-MIN(ROW('03.Muestra'!$D$8:$D$42))+1,""),ROW()-1728)),"")</f>
        <v>20</v>
      </c>
      <c r="B1748" s="114" t="str" cm="1">
        <f t="array" ref="B1748">IFERROR(INDEX('03.Muestra'!$C$8:$C$42,SMALL(IF("Página Web"='03.Muestra'!$D$8:$D$42,ROW('03.Muestra'!$C$8:$C$42)-MIN(ROW('03.Muestra'!$D$8:$D$42))+1,""),ROW()-1728)),"")</f>
        <v>Accesibilidad</v>
      </c>
      <c r="C1748" s="114" t="str" cm="1">
        <f t="array" ref="C1748">IFERROR(INDEX('03.Muestra'!$F$8:$F$42,SMALL(IF("Página Web"='03.Muestra'!$D$8:$D$42,ROW('03.Muestra'!$F$8:$F$42)-MIN(ROW('03.Muestra'!$D$8:$D$42))+1,""),ROW()-1728)),"")</f>
        <v>https://www.crtm.es/accesibilidad</v>
      </c>
      <c r="D1748" s="130" t="s">
        <v>34</v>
      </c>
      <c r="E1748" s="107" t="str">
        <f t="shared" si="90"/>
        <v/>
      </c>
      <c r="F1748" s="19"/>
      <c r="G1748" s="19"/>
      <c r="H1748" s="19"/>
      <c r="I1748" s="19"/>
      <c r="J1748" s="19"/>
      <c r="K1748" s="233"/>
    </row>
    <row r="1749" spans="1:11" ht="12" customHeight="1">
      <c r="A1749" s="219" cm="1">
        <f t="array" ref="A1749">IFERROR(INDEX('03.Muestra'!$B$8:$B$42,SMALL(IF("Página Web"='03.Muestra'!$D$8:$D$42,ROW('03.Muestra'!$B$8:$B$42)-MIN(ROW('03.Muestra'!$D$8:$D$42))+1,""),ROW()-1728)),"")</f>
        <v>21</v>
      </c>
      <c r="B1749" s="114" t="str" cm="1">
        <f t="array" ref="B1749">IFERROR(INDEX('03.Muestra'!$C$8:$C$42,SMALL(IF("Página Web"='03.Muestra'!$D$8:$D$42,ROW('03.Muestra'!$C$8:$C$42)-MIN(ROW('03.Muestra'!$D$8:$D$42))+1,""),ROW()-1728)),"")</f>
        <v>Modo accesible</v>
      </c>
      <c r="C1749" s="114" t="str" cm="1">
        <f t="array" ref="C1749">IFERROR(INDEX('03.Muestra'!$F$8:$F$42,SMALL(IF("Página Web"='03.Muestra'!$D$8:$D$42,ROW('03.Muestra'!$F$8:$F$42)-MIN(ROW('03.Muestra'!$D$8:$D$42))+1,""),ROW()-1728)),"")</f>
        <v>https://www.crtm.es/</v>
      </c>
      <c r="D1749" s="130" t="s">
        <v>34</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ref="D1750:D1763" si="91">IF(AND(B1750&lt;&gt;"",C1750&lt;&gt;""),"N/T","")</f>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https://www.crtm.es/</v>
      </c>
      <c r="D1767" s="130" t="s">
        <v>34</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Red de metro</v>
      </c>
      <c r="C1768" s="114" t="str" cm="1">
        <f t="array" ref="C1768">IFERROR(INDEX('03.Muestra'!$F$8:$F$42,SMALL(IF("Página Web"='03.Muestra'!$D$8:$D$42,ROW('03.Muestra'!$F$8:$F$42)-MIN(ROW('03.Muestra'!$D$8:$D$42))+1,""),ROW()-1766)),"")</f>
        <v>https://www.crtm.es/tu-transporte-publico/metro/</v>
      </c>
      <c r="D1768" s="130" t="s">
        <v>34</v>
      </c>
      <c r="E1768" s="107" t="str">
        <f t="shared" si="92"/>
        <v/>
      </c>
      <c r="F1768" s="120">
        <f ca="1">COUNTIF($D1767:INDIRECT("$D" &amp;  SUM(ROW()-1,'03.Muestra'!$D$45)-1),F1767)</f>
        <v>0</v>
      </c>
      <c r="G1768" s="120">
        <f ca="1">COUNTIF($D1767:INDIRECT("$D" &amp;  SUM(ROW()-1,'03.Muestra'!$D$45)-1),G1767)</f>
        <v>0</v>
      </c>
      <c r="H1768" s="120">
        <f ca="1">COUNTIF($D1767:INDIRECT("$D" &amp;  SUM(ROW()-1,'03.Muestra'!$D$45)-1),H1767)</f>
        <v>21</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Líneas de metro</v>
      </c>
      <c r="C1769" s="114" t="str" cm="1">
        <f t="array" ref="C1769">IFERROR(INDEX('03.Muestra'!$F$8:$F$42,SMALL(IF("Página Web"='03.Muestra'!$D$8:$D$42,ROW('03.Muestra'!$F$8:$F$42)-MIN(ROW('03.Muestra'!$D$8:$D$42))+1,""),ROW()-1766)),"")</f>
        <v>https://www.crtm.es/tu-transporte-publico/metro/lineas/4__1___</v>
      </c>
      <c r="D1769" s="130" t="s">
        <v>34</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Estaciones Aeropuerto T1-T2-T3</v>
      </c>
      <c r="C1770" s="114" t="str" cm="1">
        <f t="array" ref="C1770">IFERROR(INDEX('03.Muestra'!$F$8:$F$42,SMALL(IF("Página Web"='03.Muestra'!$D$8:$D$42,ROW('03.Muestra'!$F$8:$F$42)-MIN(ROW('03.Muestra'!$D$8:$D$42))+1,""),ROW()-1766)),"")</f>
        <v>https://www.crtm.es/tu-transporte-publico/metro/estaciones/4_159</v>
      </c>
      <c r="D1770" s="130" t="s">
        <v>34</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Muévete por Madrid</v>
      </c>
      <c r="C1771" s="114" t="str" cm="1">
        <f t="array" ref="C1771">IFERROR(INDEX('03.Muestra'!$F$8:$F$42,SMALL(IF("Página Web"='03.Muestra'!$D$8:$D$42,ROW('03.Muestra'!$F$8:$F$42)-MIN(ROW('03.Muestra'!$D$8:$D$42))+1,""),ROW()-1766)),"")</f>
        <v>https://www.crtm.es/muevete-por-madrid/</v>
      </c>
      <c r="D1771" s="130" t="s">
        <v>34</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conexiones con aeropuerto y principales estaciones</v>
      </c>
      <c r="C1772" s="114" t="str" cm="1">
        <f t="array" ref="C1772">IFERROR(INDEX('03.Muestra'!$F$8:$F$42,SMALL(IF("Página Web"='03.Muestra'!$D$8:$D$42,ROW('03.Muestra'!$F$8:$F$42)-MIN(ROW('03.Muestra'!$D$8:$D$42))+1,""),ROW()-1766)),"")</f>
        <v xml:space="preserve">https://www.crtm.es/muevete-por-madrid/conexiones-con-aeropuerto-y-principales-estaciones/ </v>
      </c>
      <c r="D1772" s="130" t="s">
        <v>34</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Atención desplazados Ucranianos</v>
      </c>
      <c r="C1773" s="114" t="str" cm="1">
        <f t="array" ref="C1773">IFERROR(INDEX('03.Muestra'!$F$8:$F$42,SMALL(IF("Página Web"='03.Muestra'!$D$8:$D$42,ROW('03.Muestra'!$F$8:$F$42)-MIN(ROW('03.Muestra'!$D$8:$D$42))+1,""),ROW()-1766)),"")</f>
        <v>https://www.crtm.es/atencion-desplazados-ucranianos/#item3</v>
      </c>
      <c r="D1773" s="130" t="s">
        <v>34</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Preguntas frecuentes (Tarjeta transporte público personal)</v>
      </c>
      <c r="C1774" s="114" t="str" cm="1">
        <f t="array" ref="C1774">IFERROR(INDEX('03.Muestra'!$F$8:$F$42,SMALL(IF("Página Web"='03.Muestra'!$D$8:$D$42,ROW('03.Muestra'!$F$8:$F$42)-MIN(ROW('03.Muestra'!$D$8:$D$42))+1,""),ROW()-1766)),"")</f>
        <v xml:space="preserve"> https://www.crtm.es/billetes-y-tarifas/tarjeta-transporte-publico/preguntas-frecuentes/#item23</v>
      </c>
      <c r="D1774" s="130" t="s">
        <v>34</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Billetes y abonos (Metro)</v>
      </c>
      <c r="C1775" s="114" t="str" cm="1">
        <f t="array" ref="C1775">IFERROR(INDEX('03.Muestra'!$F$8:$F$42,SMALL(IF("Página Web"='03.Muestra'!$D$8:$D$42,ROW('03.Muestra'!$F$8:$F$42)-MIN(ROW('03.Muestra'!$D$8:$D$42))+1,""),ROW()-1766)),"")</f>
        <v>https://www.crtm.es/billetes-y-tarifas/billetes-y-abonos/metro/?idPestana=1&amp;lang=#item10</v>
      </c>
      <c r="D1775" s="130" t="s">
        <v>34</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Billetes y tarifas (App)</v>
      </c>
      <c r="C1776" s="114" t="str" cm="1">
        <f t="array" ref="C1776">IFERROR(INDEX('03.Muestra'!$F$8:$F$42,SMALL(IF("Página Web"='03.Muestra'!$D$8:$D$42,ROW('03.Muestra'!$F$8:$F$42)-MIN(ROW('03.Muestra'!$D$8:$D$42))+1,""),ROW()-1766)),"")</f>
        <v>https://www.crtm.es/billetes-y-tarifas/apps/</v>
      </c>
      <c r="D1776" s="130" t="s">
        <v>34</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Atención al cliente</v>
      </c>
      <c r="C1777" s="114" t="str" cm="1">
        <f t="array" ref="C1777">IFERROR(INDEX('03.Muestra'!$F$8:$F$42,SMALL(IF("Página Web"='03.Muestra'!$D$8:$D$42,ROW('03.Muestra'!$F$8:$F$42)-MIN(ROW('03.Muestra'!$D$8:$D$42))+1,""),ROW()-1766)),"")</f>
        <v>https://www.crtm.es/atencion-al-cliente/</v>
      </c>
      <c r="D1777" s="130" t="s">
        <v>34</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Conócenos</v>
      </c>
      <c r="C1778" s="114" t="str" cm="1">
        <f t="array" ref="C1778">IFERROR(INDEX('03.Muestra'!$F$8:$F$42,SMALL(IF("Página Web"='03.Muestra'!$D$8:$D$42,ROW('03.Muestra'!$F$8:$F$42)-MIN(ROW('03.Muestra'!$D$8:$D$42))+1,""),ROW()-1766)),"")</f>
        <v>https://www.crtm.es/conocenos/#CentrodeDocumentacion</v>
      </c>
      <c r="D1778" s="130" t="s">
        <v>34</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Actualidad del servicio</v>
      </c>
      <c r="C1779" s="114" t="str" cm="1">
        <f t="array" ref="C1779">IFERROR(INDEX('03.Muestra'!$F$8:$F$42,SMALL(IF("Página Web"='03.Muestra'!$D$8:$D$42,ROW('03.Muestra'!$F$8:$F$42)-MIN(ROW('03.Muestra'!$D$8:$D$42))+1,""),ROW()-1766)),"")</f>
        <v>https://www.crtm.es/comunicacion/actualidad-del-servicio/?idPestana=1&amp;lang=es</v>
      </c>
      <c r="D1779" s="130" t="s">
        <v>34</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Galería de fotos</v>
      </c>
      <c r="C1780" s="114" t="str" cm="1">
        <f t="array" ref="C1780">IFERROR(INDEX('03.Muestra'!$F$8:$F$42,SMALL(IF("Página Web"='03.Muestra'!$D$8:$D$42,ROW('03.Muestra'!$F$8:$F$42)-MIN(ROW('03.Muestra'!$D$8:$D$42))+1,""),ROW()-1766)),"")</f>
        <v>https://www.crtm.es/comunicacion/multimedia/galeria-de-fotos/</v>
      </c>
      <c r="D1780" s="130" t="s">
        <v>34</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Mapa web</v>
      </c>
      <c r="C1781" s="114" t="str" cm="1">
        <f t="array" ref="C1781">IFERROR(INDEX('03.Muestra'!$F$8:$F$42,SMALL(IF("Página Web"='03.Muestra'!$D$8:$D$42,ROW('03.Muestra'!$F$8:$F$42)-MIN(ROW('03.Muestra'!$D$8:$D$42))+1,""),ROW()-1766)),"")</f>
        <v>https://www.crtm.es/mapa-web</v>
      </c>
      <c r="D1781" s="130" t="s">
        <v>34</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Protección de datos</v>
      </c>
      <c r="C1782" s="114" t="str" cm="1">
        <f t="array" ref="C1782">IFERROR(INDEX('03.Muestra'!$F$8:$F$42,SMALL(IF("Página Web"='03.Muestra'!$D$8:$D$42,ROW('03.Muestra'!$F$8:$F$42)-MIN(ROW('03.Muestra'!$D$8:$D$42))+1,""),ROW()-1766)),"")</f>
        <v>https://www.crtm.es/proteccion-de-datos</v>
      </c>
      <c r="D1782" s="130" t="s">
        <v>34</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Política de cookies</v>
      </c>
      <c r="C1783" s="114" t="str" cm="1">
        <f t="array" ref="C1783">IFERROR(INDEX('03.Muestra'!$F$8:$F$42,SMALL(IF("Página Web"='03.Muestra'!$D$8:$D$42,ROW('03.Muestra'!$F$8:$F$42)-MIN(ROW('03.Muestra'!$D$8:$D$42))+1,""),ROW()-1766)),"")</f>
        <v>https://www.crtm.es/politica-de-cookies</v>
      </c>
      <c r="D1783" s="130" t="s">
        <v>34</v>
      </c>
      <c r="E1783" s="107" t="str">
        <f t="shared" si="92"/>
        <v/>
      </c>
      <c r="F1783" s="19"/>
      <c r="G1783" s="19"/>
      <c r="H1783" s="19"/>
      <c r="I1783" s="19"/>
      <c r="J1783" s="19"/>
      <c r="K1783" s="233"/>
    </row>
    <row r="1784" spans="1:11" ht="12" customHeight="1">
      <c r="A1784" s="219" cm="1">
        <f t="array" ref="A1784">IFERROR(INDEX('03.Muestra'!$B$8:$B$42,SMALL(IF("Página Web"='03.Muestra'!$D$8:$D$42,ROW('03.Muestra'!$B$8:$B$42)-MIN(ROW('03.Muestra'!$D$8:$D$42))+1,""),ROW()-1766)),"")</f>
        <v>18</v>
      </c>
      <c r="B1784" s="114" t="str" cm="1">
        <f t="array" ref="B1784">IFERROR(INDEX('03.Muestra'!$C$8:$C$42,SMALL(IF("Página Web"='03.Muestra'!$D$8:$D$42,ROW('03.Muestra'!$C$8:$C$42)-MIN(ROW('03.Muestra'!$D$8:$D$42))+1,""),ROW()-1766)),"")</f>
        <v>Aviso Legal</v>
      </c>
      <c r="C1784" s="114" t="str" cm="1">
        <f t="array" ref="C1784">IFERROR(INDEX('03.Muestra'!$F$8:$F$42,SMALL(IF("Página Web"='03.Muestra'!$D$8:$D$42,ROW('03.Muestra'!$F$8:$F$42)-MIN(ROW('03.Muestra'!$D$8:$D$42))+1,""),ROW()-1766)),"")</f>
        <v>https://www.crtm.es/aviso-legal</v>
      </c>
      <c r="D1784" s="130" t="s">
        <v>34</v>
      </c>
      <c r="E1784" s="107" t="str">
        <f t="shared" si="92"/>
        <v/>
      </c>
      <c r="F1784" s="19"/>
      <c r="G1784" s="19"/>
      <c r="H1784" s="19"/>
      <c r="I1784" s="19"/>
      <c r="J1784" s="19"/>
      <c r="K1784" s="233"/>
    </row>
    <row r="1785" spans="1:11" ht="12" customHeight="1">
      <c r="A1785" s="219" cm="1">
        <f t="array" ref="A1785">IFERROR(INDEX('03.Muestra'!$B$8:$B$42,SMALL(IF("Página Web"='03.Muestra'!$D$8:$D$42,ROW('03.Muestra'!$B$8:$B$42)-MIN(ROW('03.Muestra'!$D$8:$D$42))+1,""),ROW()-1766)),"")</f>
        <v>19</v>
      </c>
      <c r="B1785" s="114" t="str" cm="1">
        <f t="array" ref="B1785">IFERROR(INDEX('03.Muestra'!$C$8:$C$42,SMALL(IF("Página Web"='03.Muestra'!$D$8:$D$42,ROW('03.Muestra'!$C$8:$C$42)-MIN(ROW('03.Muestra'!$D$8:$D$42))+1,""),ROW()-1766)),"")</f>
        <v>Normativa</v>
      </c>
      <c r="C1785" s="114" t="str" cm="1">
        <f t="array" ref="C1785">IFERROR(INDEX('03.Muestra'!$F$8:$F$42,SMALL(IF("Página Web"='03.Muestra'!$D$8:$D$42,ROW('03.Muestra'!$F$8:$F$42)-MIN(ROW('03.Muestra'!$D$8:$D$42))+1,""),ROW()-1766)),"")</f>
        <v>https://www.crtm.es/normativa</v>
      </c>
      <c r="D1785" s="130" t="s">
        <v>34</v>
      </c>
      <c r="E1785" s="107" t="str">
        <f t="shared" si="92"/>
        <v/>
      </c>
      <c r="F1785" s="19"/>
      <c r="G1785" s="19"/>
      <c r="H1785" s="19"/>
      <c r="I1785" s="19"/>
      <c r="J1785" s="19"/>
      <c r="K1785" s="233"/>
    </row>
    <row r="1786" spans="1:11" ht="12" customHeight="1">
      <c r="A1786" s="219" cm="1">
        <f t="array" ref="A1786">IFERROR(INDEX('03.Muestra'!$B$8:$B$42,SMALL(IF("Página Web"='03.Muestra'!$D$8:$D$42,ROW('03.Muestra'!$B$8:$B$42)-MIN(ROW('03.Muestra'!$D$8:$D$42))+1,""),ROW()-1766)),"")</f>
        <v>20</v>
      </c>
      <c r="B1786" s="114" t="str" cm="1">
        <f t="array" ref="B1786">IFERROR(INDEX('03.Muestra'!$C$8:$C$42,SMALL(IF("Página Web"='03.Muestra'!$D$8:$D$42,ROW('03.Muestra'!$C$8:$C$42)-MIN(ROW('03.Muestra'!$D$8:$D$42))+1,""),ROW()-1766)),"")</f>
        <v>Accesibilidad</v>
      </c>
      <c r="C1786" s="114" t="str" cm="1">
        <f t="array" ref="C1786">IFERROR(INDEX('03.Muestra'!$F$8:$F$42,SMALL(IF("Página Web"='03.Muestra'!$D$8:$D$42,ROW('03.Muestra'!$F$8:$F$42)-MIN(ROW('03.Muestra'!$D$8:$D$42))+1,""),ROW()-1766)),"")</f>
        <v>https://www.crtm.es/accesibilidad</v>
      </c>
      <c r="D1786" s="130" t="s">
        <v>34</v>
      </c>
      <c r="E1786" s="107" t="str">
        <f t="shared" si="92"/>
        <v/>
      </c>
      <c r="F1786" s="19"/>
      <c r="G1786" s="19"/>
      <c r="H1786" s="19"/>
      <c r="I1786" s="19"/>
      <c r="J1786" s="19"/>
      <c r="K1786" s="233"/>
    </row>
    <row r="1787" spans="1:11" ht="12" customHeight="1">
      <c r="A1787" s="219" cm="1">
        <f t="array" ref="A1787">IFERROR(INDEX('03.Muestra'!$B$8:$B$42,SMALL(IF("Página Web"='03.Muestra'!$D$8:$D$42,ROW('03.Muestra'!$B$8:$B$42)-MIN(ROW('03.Muestra'!$D$8:$D$42))+1,""),ROW()-1766)),"")</f>
        <v>21</v>
      </c>
      <c r="B1787" s="114" t="str" cm="1">
        <f t="array" ref="B1787">IFERROR(INDEX('03.Muestra'!$C$8:$C$42,SMALL(IF("Página Web"='03.Muestra'!$D$8:$D$42,ROW('03.Muestra'!$C$8:$C$42)-MIN(ROW('03.Muestra'!$D$8:$D$42))+1,""),ROW()-1766)),"")</f>
        <v>Modo accesible</v>
      </c>
      <c r="C1787" s="114" t="str" cm="1">
        <f t="array" ref="C1787">IFERROR(INDEX('03.Muestra'!$F$8:$F$42,SMALL(IF("Página Web"='03.Muestra'!$D$8:$D$42,ROW('03.Muestra'!$F$8:$F$42)-MIN(ROW('03.Muestra'!$D$8:$D$42))+1,""),ROW()-1766)),"")</f>
        <v>https://www.crtm.es/</v>
      </c>
      <c r="D1787" s="130" t="s">
        <v>34</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ref="D1788:D1801" si="93">IF(AND(B1788&lt;&gt;"",C1788&lt;&gt;""),"N/T","")</f>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https://www.crtm.es/</v>
      </c>
      <c r="D1805" s="130" t="s">
        <v>27</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Red de metro</v>
      </c>
      <c r="C1806" s="114" t="str" cm="1">
        <f t="array" ref="C1806">IFERROR(INDEX('03.Muestra'!$F$8:$F$42,SMALL(IF("Página Web"='03.Muestra'!$D$8:$D$42,ROW('03.Muestra'!$F$8:$F$42)-MIN(ROW('03.Muestra'!$D$8:$D$42))+1,""),ROW()-1804)),"")</f>
        <v>https://www.crtm.es/tu-transporte-publico/metro/</v>
      </c>
      <c r="D1806" s="130" t="s">
        <v>27</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21</v>
      </c>
      <c r="J1806" s="120">
        <f ca="1">COUNTIF($D1805:INDIRECT("$D" &amp;  SUM(ROW()-1,'03.Muestra'!$D$45)-1),J1805)</f>
        <v>0</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Líneas de metro</v>
      </c>
      <c r="C1807" s="114" t="str" cm="1">
        <f t="array" ref="C1807">IFERROR(INDEX('03.Muestra'!$F$8:$F$42,SMALL(IF("Página Web"='03.Muestra'!$D$8:$D$42,ROW('03.Muestra'!$F$8:$F$42)-MIN(ROW('03.Muestra'!$D$8:$D$42))+1,""),ROW()-1804)),"")</f>
        <v>https://www.crtm.es/tu-transporte-publico/metro/lineas/4__1___</v>
      </c>
      <c r="D1807" s="130" t="s">
        <v>27</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Estaciones Aeropuerto T1-T2-T3</v>
      </c>
      <c r="C1808" s="114" t="str" cm="1">
        <f t="array" ref="C1808">IFERROR(INDEX('03.Muestra'!$F$8:$F$42,SMALL(IF("Página Web"='03.Muestra'!$D$8:$D$42,ROW('03.Muestra'!$F$8:$F$42)-MIN(ROW('03.Muestra'!$D$8:$D$42))+1,""),ROW()-1804)),"")</f>
        <v>https://www.crtm.es/tu-transporte-publico/metro/estaciones/4_159</v>
      </c>
      <c r="D1808" s="130" t="s">
        <v>27</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Muévete por Madrid</v>
      </c>
      <c r="C1809" s="114" t="str" cm="1">
        <f t="array" ref="C1809">IFERROR(INDEX('03.Muestra'!$F$8:$F$42,SMALL(IF("Página Web"='03.Muestra'!$D$8:$D$42,ROW('03.Muestra'!$F$8:$F$42)-MIN(ROW('03.Muestra'!$D$8:$D$42))+1,""),ROW()-1804)),"")</f>
        <v>https://www.crtm.es/muevete-por-madrid/</v>
      </c>
      <c r="D1809" s="130" t="s">
        <v>27</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conexiones con aeropuerto y principales estaciones</v>
      </c>
      <c r="C1810" s="114" t="str" cm="1">
        <f t="array" ref="C1810">IFERROR(INDEX('03.Muestra'!$F$8:$F$42,SMALL(IF("Página Web"='03.Muestra'!$D$8:$D$42,ROW('03.Muestra'!$F$8:$F$42)-MIN(ROW('03.Muestra'!$D$8:$D$42))+1,""),ROW()-1804)),"")</f>
        <v xml:space="preserve">https://www.crtm.es/muevete-por-madrid/conexiones-con-aeropuerto-y-principales-estaciones/ </v>
      </c>
      <c r="D1810" s="130" t="s">
        <v>27</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Atención desplazados Ucranianos</v>
      </c>
      <c r="C1811" s="114" t="str" cm="1">
        <f t="array" ref="C1811">IFERROR(INDEX('03.Muestra'!$F$8:$F$42,SMALL(IF("Página Web"='03.Muestra'!$D$8:$D$42,ROW('03.Muestra'!$F$8:$F$42)-MIN(ROW('03.Muestra'!$D$8:$D$42))+1,""),ROW()-1804)),"")</f>
        <v>https://www.crtm.es/atencion-desplazados-ucranianos/#item3</v>
      </c>
      <c r="D1811" s="130" t="s">
        <v>27</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Preguntas frecuentes (Tarjeta transporte público personal)</v>
      </c>
      <c r="C1812" s="114" t="str" cm="1">
        <f t="array" ref="C1812">IFERROR(INDEX('03.Muestra'!$F$8:$F$42,SMALL(IF("Página Web"='03.Muestra'!$D$8:$D$42,ROW('03.Muestra'!$F$8:$F$42)-MIN(ROW('03.Muestra'!$D$8:$D$42))+1,""),ROW()-1804)),"")</f>
        <v xml:space="preserve"> https://www.crtm.es/billetes-y-tarifas/tarjeta-transporte-publico/preguntas-frecuentes/#item23</v>
      </c>
      <c r="D1812" s="130" t="s">
        <v>27</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Billetes y abonos (Metro)</v>
      </c>
      <c r="C1813" s="114" t="str" cm="1">
        <f t="array" ref="C1813">IFERROR(INDEX('03.Muestra'!$F$8:$F$42,SMALL(IF("Página Web"='03.Muestra'!$D$8:$D$42,ROW('03.Muestra'!$F$8:$F$42)-MIN(ROW('03.Muestra'!$D$8:$D$42))+1,""),ROW()-1804)),"")</f>
        <v>https://www.crtm.es/billetes-y-tarifas/billetes-y-abonos/metro/?idPestana=1&amp;lang=#item10</v>
      </c>
      <c r="D1813" s="130" t="s">
        <v>27</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Billetes y tarifas (App)</v>
      </c>
      <c r="C1814" s="114" t="str" cm="1">
        <f t="array" ref="C1814">IFERROR(INDEX('03.Muestra'!$F$8:$F$42,SMALL(IF("Página Web"='03.Muestra'!$D$8:$D$42,ROW('03.Muestra'!$F$8:$F$42)-MIN(ROW('03.Muestra'!$D$8:$D$42))+1,""),ROW()-1804)),"")</f>
        <v>https://www.crtm.es/billetes-y-tarifas/apps/</v>
      </c>
      <c r="D1814" s="130" t="s">
        <v>27</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Atención al cliente</v>
      </c>
      <c r="C1815" s="114" t="str" cm="1">
        <f t="array" ref="C1815">IFERROR(INDEX('03.Muestra'!$F$8:$F$42,SMALL(IF("Página Web"='03.Muestra'!$D$8:$D$42,ROW('03.Muestra'!$F$8:$F$42)-MIN(ROW('03.Muestra'!$D$8:$D$42))+1,""),ROW()-1804)),"")</f>
        <v>https://www.crtm.es/atencion-al-cliente/</v>
      </c>
      <c r="D1815" s="130" t="s">
        <v>27</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Conócenos</v>
      </c>
      <c r="C1816" s="114" t="str" cm="1">
        <f t="array" ref="C1816">IFERROR(INDEX('03.Muestra'!$F$8:$F$42,SMALL(IF("Página Web"='03.Muestra'!$D$8:$D$42,ROW('03.Muestra'!$F$8:$F$42)-MIN(ROW('03.Muestra'!$D$8:$D$42))+1,""),ROW()-1804)),"")</f>
        <v>https://www.crtm.es/conocenos/#CentrodeDocumentacion</v>
      </c>
      <c r="D1816" s="130" t="s">
        <v>27</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Actualidad del servicio</v>
      </c>
      <c r="C1817" s="114" t="str" cm="1">
        <f t="array" ref="C1817">IFERROR(INDEX('03.Muestra'!$F$8:$F$42,SMALL(IF("Página Web"='03.Muestra'!$D$8:$D$42,ROW('03.Muestra'!$F$8:$F$42)-MIN(ROW('03.Muestra'!$D$8:$D$42))+1,""),ROW()-1804)),"")</f>
        <v>https://www.crtm.es/comunicacion/actualidad-del-servicio/?idPestana=1&amp;lang=es</v>
      </c>
      <c r="D1817" s="130" t="s">
        <v>27</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Galería de fotos</v>
      </c>
      <c r="C1818" s="114" t="str" cm="1">
        <f t="array" ref="C1818">IFERROR(INDEX('03.Muestra'!$F$8:$F$42,SMALL(IF("Página Web"='03.Muestra'!$D$8:$D$42,ROW('03.Muestra'!$F$8:$F$42)-MIN(ROW('03.Muestra'!$D$8:$D$42))+1,""),ROW()-1804)),"")</f>
        <v>https://www.crtm.es/comunicacion/multimedia/galeria-de-fotos/</v>
      </c>
      <c r="D1818" s="130" t="s">
        <v>27</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Mapa web</v>
      </c>
      <c r="C1819" s="114" t="str" cm="1">
        <f t="array" ref="C1819">IFERROR(INDEX('03.Muestra'!$F$8:$F$42,SMALL(IF("Página Web"='03.Muestra'!$D$8:$D$42,ROW('03.Muestra'!$F$8:$F$42)-MIN(ROW('03.Muestra'!$D$8:$D$42))+1,""),ROW()-1804)),"")</f>
        <v>https://www.crtm.es/mapa-web</v>
      </c>
      <c r="D1819" s="130" t="s">
        <v>27</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Protección de datos</v>
      </c>
      <c r="C1820" s="114" t="str" cm="1">
        <f t="array" ref="C1820">IFERROR(INDEX('03.Muestra'!$F$8:$F$42,SMALL(IF("Página Web"='03.Muestra'!$D$8:$D$42,ROW('03.Muestra'!$F$8:$F$42)-MIN(ROW('03.Muestra'!$D$8:$D$42))+1,""),ROW()-1804)),"")</f>
        <v>https://www.crtm.es/proteccion-de-datos</v>
      </c>
      <c r="D1820" s="130" t="s">
        <v>27</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Política de cookies</v>
      </c>
      <c r="C1821" s="114" t="str" cm="1">
        <f t="array" ref="C1821">IFERROR(INDEX('03.Muestra'!$F$8:$F$42,SMALL(IF("Página Web"='03.Muestra'!$D$8:$D$42,ROW('03.Muestra'!$F$8:$F$42)-MIN(ROW('03.Muestra'!$D$8:$D$42))+1,""),ROW()-1804)),"")</f>
        <v>https://www.crtm.es/politica-de-cookies</v>
      </c>
      <c r="D1821" s="130" t="s">
        <v>27</v>
      </c>
      <c r="E1821" s="107" t="str">
        <f t="shared" si="94"/>
        <v/>
      </c>
      <c r="F1821" s="19"/>
      <c r="G1821" s="19"/>
      <c r="H1821" s="19"/>
      <c r="I1821" s="19"/>
      <c r="J1821" s="19"/>
      <c r="K1821" s="233"/>
    </row>
    <row r="1822" spans="1:11" ht="12" customHeight="1">
      <c r="A1822" s="219" cm="1">
        <f t="array" ref="A1822">IFERROR(INDEX('03.Muestra'!$B$8:$B$42,SMALL(IF("Página Web"='03.Muestra'!$D$8:$D$42,ROW('03.Muestra'!$B$8:$B$42)-MIN(ROW('03.Muestra'!$D$8:$D$42))+1,""),ROW()-1804)),"")</f>
        <v>18</v>
      </c>
      <c r="B1822" s="114" t="str" cm="1">
        <f t="array" ref="B1822">IFERROR(INDEX('03.Muestra'!$C$8:$C$42,SMALL(IF("Página Web"='03.Muestra'!$D$8:$D$42,ROW('03.Muestra'!$C$8:$C$42)-MIN(ROW('03.Muestra'!$D$8:$D$42))+1,""),ROW()-1804)),"")</f>
        <v>Aviso Legal</v>
      </c>
      <c r="C1822" s="114" t="str" cm="1">
        <f t="array" ref="C1822">IFERROR(INDEX('03.Muestra'!$F$8:$F$42,SMALL(IF("Página Web"='03.Muestra'!$D$8:$D$42,ROW('03.Muestra'!$F$8:$F$42)-MIN(ROW('03.Muestra'!$D$8:$D$42))+1,""),ROW()-1804)),"")</f>
        <v>https://www.crtm.es/aviso-legal</v>
      </c>
      <c r="D1822" s="130" t="s">
        <v>27</v>
      </c>
      <c r="E1822" s="107" t="str">
        <f t="shared" si="94"/>
        <v/>
      </c>
      <c r="F1822" s="19"/>
      <c r="G1822" s="19"/>
      <c r="H1822" s="19"/>
      <c r="I1822" s="19"/>
      <c r="J1822" s="19"/>
      <c r="K1822" s="233"/>
    </row>
    <row r="1823" spans="1:11" ht="12" customHeight="1">
      <c r="A1823" s="219" cm="1">
        <f t="array" ref="A1823">IFERROR(INDEX('03.Muestra'!$B$8:$B$42,SMALL(IF("Página Web"='03.Muestra'!$D$8:$D$42,ROW('03.Muestra'!$B$8:$B$42)-MIN(ROW('03.Muestra'!$D$8:$D$42))+1,""),ROW()-1804)),"")</f>
        <v>19</v>
      </c>
      <c r="B1823" s="114" t="str" cm="1">
        <f t="array" ref="B1823">IFERROR(INDEX('03.Muestra'!$C$8:$C$42,SMALL(IF("Página Web"='03.Muestra'!$D$8:$D$42,ROW('03.Muestra'!$C$8:$C$42)-MIN(ROW('03.Muestra'!$D$8:$D$42))+1,""),ROW()-1804)),"")</f>
        <v>Normativa</v>
      </c>
      <c r="C1823" s="114" t="str" cm="1">
        <f t="array" ref="C1823">IFERROR(INDEX('03.Muestra'!$F$8:$F$42,SMALL(IF("Página Web"='03.Muestra'!$D$8:$D$42,ROW('03.Muestra'!$F$8:$F$42)-MIN(ROW('03.Muestra'!$D$8:$D$42))+1,""),ROW()-1804)),"")</f>
        <v>https://www.crtm.es/normativa</v>
      </c>
      <c r="D1823" s="130" t="s">
        <v>27</v>
      </c>
      <c r="E1823" s="107" t="str">
        <f t="shared" si="94"/>
        <v/>
      </c>
      <c r="F1823" s="19"/>
      <c r="G1823" s="19"/>
      <c r="H1823" s="19"/>
      <c r="I1823" s="19"/>
      <c r="J1823" s="19"/>
      <c r="K1823" s="233"/>
    </row>
    <row r="1824" spans="1:11" ht="12" customHeight="1">
      <c r="A1824" s="219" cm="1">
        <f t="array" ref="A1824">IFERROR(INDEX('03.Muestra'!$B$8:$B$42,SMALL(IF("Página Web"='03.Muestra'!$D$8:$D$42,ROW('03.Muestra'!$B$8:$B$42)-MIN(ROW('03.Muestra'!$D$8:$D$42))+1,""),ROW()-1804)),"")</f>
        <v>20</v>
      </c>
      <c r="B1824" s="114" t="str" cm="1">
        <f t="array" ref="B1824">IFERROR(INDEX('03.Muestra'!$C$8:$C$42,SMALL(IF("Página Web"='03.Muestra'!$D$8:$D$42,ROW('03.Muestra'!$C$8:$C$42)-MIN(ROW('03.Muestra'!$D$8:$D$42))+1,""),ROW()-1804)),"")</f>
        <v>Accesibilidad</v>
      </c>
      <c r="C1824" s="114" t="str" cm="1">
        <f t="array" ref="C1824">IFERROR(INDEX('03.Muestra'!$F$8:$F$42,SMALL(IF("Página Web"='03.Muestra'!$D$8:$D$42,ROW('03.Muestra'!$F$8:$F$42)-MIN(ROW('03.Muestra'!$D$8:$D$42))+1,""),ROW()-1804)),"")</f>
        <v>https://www.crtm.es/accesibilidad</v>
      </c>
      <c r="D1824" s="246" t="s">
        <v>27</v>
      </c>
      <c r="E1824" s="107" t="str">
        <f t="shared" si="94"/>
        <v/>
      </c>
      <c r="F1824" s="19"/>
      <c r="G1824" s="19"/>
      <c r="H1824" s="19"/>
      <c r="I1824" s="19"/>
      <c r="J1824" s="19"/>
      <c r="K1824" s="233"/>
    </row>
    <row r="1825" spans="1:11" ht="12" customHeight="1">
      <c r="A1825" s="219" cm="1">
        <f t="array" ref="A1825">IFERROR(INDEX('03.Muestra'!$B$8:$B$42,SMALL(IF("Página Web"='03.Muestra'!$D$8:$D$42,ROW('03.Muestra'!$B$8:$B$42)-MIN(ROW('03.Muestra'!$D$8:$D$42))+1,""),ROW()-1804)),"")</f>
        <v>21</v>
      </c>
      <c r="B1825" s="114" t="str" cm="1">
        <f t="array" ref="B1825">IFERROR(INDEX('03.Muestra'!$C$8:$C$42,SMALL(IF("Página Web"='03.Muestra'!$D$8:$D$42,ROW('03.Muestra'!$C$8:$C$42)-MIN(ROW('03.Muestra'!$D$8:$D$42))+1,""),ROW()-1804)),"")</f>
        <v>Modo accesible</v>
      </c>
      <c r="C1825" s="114" t="str" cm="1">
        <f t="array" ref="C1825">IFERROR(INDEX('03.Muestra'!$F$8:$F$42,SMALL(IF("Página Web"='03.Muestra'!$D$8:$D$42,ROW('03.Muestra'!$F$8:$F$42)-MIN(ROW('03.Muestra'!$D$8:$D$42))+1,""),ROW()-1804)),"")</f>
        <v>https://www.crtm.es/</v>
      </c>
      <c r="D1825" s="130" t="s">
        <v>27</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ref="D1826:D1839" si="95">IF(AND(B1826&lt;&gt;"",C1826&lt;&gt;""),"N/T","")</f>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https://www.crtm.es/</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Red de metro</v>
      </c>
      <c r="C1844" s="114" t="str" cm="1">
        <f t="array" ref="C1844">IFERROR(INDEX('03.Muestra'!$F$8:$F$42,SMALL(IF("Página Web"='03.Muestra'!$D$8:$D$42,ROW('03.Muestra'!$F$8:$F$42)-MIN(ROW('03.Muestra'!$D$8:$D$42))+1,""),ROW()-1842)),"")</f>
        <v>https://www.crtm.es/tu-transporte-publico/metro/</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21</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Líneas de metro</v>
      </c>
      <c r="C1845" s="114" t="str" cm="1">
        <f t="array" ref="C1845">IFERROR(INDEX('03.Muestra'!$F$8:$F$42,SMALL(IF("Página Web"='03.Muestra'!$D$8:$D$42,ROW('03.Muestra'!$F$8:$F$42)-MIN(ROW('03.Muestra'!$D$8:$D$42))+1,""),ROW()-1842)),"")</f>
        <v>https://www.crtm.es/tu-transporte-publico/metro/lineas/4__1___</v>
      </c>
      <c r="D1845" s="130" t="s">
        <v>34</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Estaciones Aeropuerto T1-T2-T3</v>
      </c>
      <c r="C1846" s="114" t="str" cm="1">
        <f t="array" ref="C1846">IFERROR(INDEX('03.Muestra'!$F$8:$F$42,SMALL(IF("Página Web"='03.Muestra'!$D$8:$D$42,ROW('03.Muestra'!$F$8:$F$42)-MIN(ROW('03.Muestra'!$D$8:$D$42))+1,""),ROW()-1842)),"")</f>
        <v>https://www.crtm.es/tu-transporte-publico/metro/estaciones/4_159</v>
      </c>
      <c r="D1846" s="130" t="s">
        <v>34</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Muévete por Madrid</v>
      </c>
      <c r="C1847" s="114" t="str" cm="1">
        <f t="array" ref="C1847">IFERROR(INDEX('03.Muestra'!$F$8:$F$42,SMALL(IF("Página Web"='03.Muestra'!$D$8:$D$42,ROW('03.Muestra'!$F$8:$F$42)-MIN(ROW('03.Muestra'!$D$8:$D$42))+1,""),ROW()-1842)),"")</f>
        <v>https://www.crtm.es/muevete-por-madrid/</v>
      </c>
      <c r="D1847" s="130" t="s">
        <v>34</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conexiones con aeropuerto y principales estaciones</v>
      </c>
      <c r="C1848" s="114" t="str" cm="1">
        <f t="array" ref="C1848">IFERROR(INDEX('03.Muestra'!$F$8:$F$42,SMALL(IF("Página Web"='03.Muestra'!$D$8:$D$42,ROW('03.Muestra'!$F$8:$F$42)-MIN(ROW('03.Muestra'!$D$8:$D$42))+1,""),ROW()-1842)),"")</f>
        <v xml:space="preserve">https://www.crtm.es/muevete-por-madrid/conexiones-con-aeropuerto-y-principales-estaciones/ </v>
      </c>
      <c r="D1848" s="130" t="s">
        <v>34</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Atención desplazados Ucranianos</v>
      </c>
      <c r="C1849" s="114" t="str" cm="1">
        <f t="array" ref="C1849">IFERROR(INDEX('03.Muestra'!$F$8:$F$42,SMALL(IF("Página Web"='03.Muestra'!$D$8:$D$42,ROW('03.Muestra'!$F$8:$F$42)-MIN(ROW('03.Muestra'!$D$8:$D$42))+1,""),ROW()-1842)),"")</f>
        <v>https://www.crtm.es/atencion-desplazados-ucranianos/#item3</v>
      </c>
      <c r="D1849" s="130" t="s">
        <v>34</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Preguntas frecuentes (Tarjeta transporte público personal)</v>
      </c>
      <c r="C1850" s="114" t="str" cm="1">
        <f t="array" ref="C1850">IFERROR(INDEX('03.Muestra'!$F$8:$F$42,SMALL(IF("Página Web"='03.Muestra'!$D$8:$D$42,ROW('03.Muestra'!$F$8:$F$42)-MIN(ROW('03.Muestra'!$D$8:$D$42))+1,""),ROW()-1842)),"")</f>
        <v xml:space="preserve"> https://www.crtm.es/billetes-y-tarifas/tarjeta-transporte-publico/preguntas-frecuentes/#item23</v>
      </c>
      <c r="D1850" s="130" t="s">
        <v>34</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Billetes y abonos (Metro)</v>
      </c>
      <c r="C1851" s="114" t="str" cm="1">
        <f t="array" ref="C1851">IFERROR(INDEX('03.Muestra'!$F$8:$F$42,SMALL(IF("Página Web"='03.Muestra'!$D$8:$D$42,ROW('03.Muestra'!$F$8:$F$42)-MIN(ROW('03.Muestra'!$D$8:$D$42))+1,""),ROW()-1842)),"")</f>
        <v>https://www.crtm.es/billetes-y-tarifas/billetes-y-abonos/metro/?idPestana=1&amp;lang=#item10</v>
      </c>
      <c r="D1851" s="130" t="s">
        <v>34</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Billetes y tarifas (App)</v>
      </c>
      <c r="C1852" s="114" t="str" cm="1">
        <f t="array" ref="C1852">IFERROR(INDEX('03.Muestra'!$F$8:$F$42,SMALL(IF("Página Web"='03.Muestra'!$D$8:$D$42,ROW('03.Muestra'!$F$8:$F$42)-MIN(ROW('03.Muestra'!$D$8:$D$42))+1,""),ROW()-1842)),"")</f>
        <v>https://www.crtm.es/billetes-y-tarifas/apps/</v>
      </c>
      <c r="D1852" s="130" t="s">
        <v>34</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Atención al cliente</v>
      </c>
      <c r="C1853" s="114" t="str" cm="1">
        <f t="array" ref="C1853">IFERROR(INDEX('03.Muestra'!$F$8:$F$42,SMALL(IF("Página Web"='03.Muestra'!$D$8:$D$42,ROW('03.Muestra'!$F$8:$F$42)-MIN(ROW('03.Muestra'!$D$8:$D$42))+1,""),ROW()-1842)),"")</f>
        <v>https://www.crtm.es/atencion-al-cliente/</v>
      </c>
      <c r="D1853" s="130" t="s">
        <v>34</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Conócenos</v>
      </c>
      <c r="C1854" s="114" t="str" cm="1">
        <f t="array" ref="C1854">IFERROR(INDEX('03.Muestra'!$F$8:$F$42,SMALL(IF("Página Web"='03.Muestra'!$D$8:$D$42,ROW('03.Muestra'!$F$8:$F$42)-MIN(ROW('03.Muestra'!$D$8:$D$42))+1,""),ROW()-1842)),"")</f>
        <v>https://www.crtm.es/conocenos/#CentrodeDocumentacion</v>
      </c>
      <c r="D1854" s="130" t="s">
        <v>34</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Actualidad del servicio</v>
      </c>
      <c r="C1855" s="114" t="str" cm="1">
        <f t="array" ref="C1855">IFERROR(INDEX('03.Muestra'!$F$8:$F$42,SMALL(IF("Página Web"='03.Muestra'!$D$8:$D$42,ROW('03.Muestra'!$F$8:$F$42)-MIN(ROW('03.Muestra'!$D$8:$D$42))+1,""),ROW()-1842)),"")</f>
        <v>https://www.crtm.es/comunicacion/actualidad-del-servicio/?idPestana=1&amp;lang=es</v>
      </c>
      <c r="D1855" s="130" t="s">
        <v>34</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Galería de fotos</v>
      </c>
      <c r="C1856" s="114" t="str" cm="1">
        <f t="array" ref="C1856">IFERROR(INDEX('03.Muestra'!$F$8:$F$42,SMALL(IF("Página Web"='03.Muestra'!$D$8:$D$42,ROW('03.Muestra'!$F$8:$F$42)-MIN(ROW('03.Muestra'!$D$8:$D$42))+1,""),ROW()-1842)),"")</f>
        <v>https://www.crtm.es/comunicacion/multimedia/galeria-de-fotos/</v>
      </c>
      <c r="D1856" s="130" t="s">
        <v>34</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Mapa web</v>
      </c>
      <c r="C1857" s="114" t="str" cm="1">
        <f t="array" ref="C1857">IFERROR(INDEX('03.Muestra'!$F$8:$F$42,SMALL(IF("Página Web"='03.Muestra'!$D$8:$D$42,ROW('03.Muestra'!$F$8:$F$42)-MIN(ROW('03.Muestra'!$D$8:$D$42))+1,""),ROW()-1842)),"")</f>
        <v>https://www.crtm.es/mapa-web</v>
      </c>
      <c r="D1857" s="130" t="s">
        <v>34</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Protección de datos</v>
      </c>
      <c r="C1858" s="114" t="str" cm="1">
        <f t="array" ref="C1858">IFERROR(INDEX('03.Muestra'!$F$8:$F$42,SMALL(IF("Página Web"='03.Muestra'!$D$8:$D$42,ROW('03.Muestra'!$F$8:$F$42)-MIN(ROW('03.Muestra'!$D$8:$D$42))+1,""),ROW()-1842)),"")</f>
        <v>https://www.crtm.es/proteccion-de-datos</v>
      </c>
      <c r="D1858" s="130" t="s">
        <v>34</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Política de cookies</v>
      </c>
      <c r="C1859" s="114" t="str" cm="1">
        <f t="array" ref="C1859">IFERROR(INDEX('03.Muestra'!$F$8:$F$42,SMALL(IF("Página Web"='03.Muestra'!$D$8:$D$42,ROW('03.Muestra'!$F$8:$F$42)-MIN(ROW('03.Muestra'!$D$8:$D$42))+1,""),ROW()-1842)),"")</f>
        <v>https://www.crtm.es/politica-de-cookies</v>
      </c>
      <c r="D1859" s="130" t="s">
        <v>34</v>
      </c>
      <c r="E1859" s="107" t="str">
        <f t="shared" si="96"/>
        <v/>
      </c>
      <c r="F1859" s="19"/>
      <c r="G1859" s="19"/>
      <c r="H1859" s="19"/>
      <c r="I1859" s="19"/>
      <c r="J1859" s="19"/>
      <c r="K1859" s="233"/>
    </row>
    <row r="1860" spans="1:11" ht="12" customHeight="1">
      <c r="A1860" s="219" cm="1">
        <f t="array" ref="A1860">IFERROR(INDEX('03.Muestra'!$B$8:$B$42,SMALL(IF("Página Web"='03.Muestra'!$D$8:$D$42,ROW('03.Muestra'!$B$8:$B$42)-MIN(ROW('03.Muestra'!$D$8:$D$42))+1,""),ROW()-1842)),"")</f>
        <v>18</v>
      </c>
      <c r="B1860" s="114" t="str" cm="1">
        <f t="array" ref="B1860">IFERROR(INDEX('03.Muestra'!$C$8:$C$42,SMALL(IF("Página Web"='03.Muestra'!$D$8:$D$42,ROW('03.Muestra'!$C$8:$C$42)-MIN(ROW('03.Muestra'!$D$8:$D$42))+1,""),ROW()-1842)),"")</f>
        <v>Aviso Legal</v>
      </c>
      <c r="C1860" s="114" t="str" cm="1">
        <f t="array" ref="C1860">IFERROR(INDEX('03.Muestra'!$F$8:$F$42,SMALL(IF("Página Web"='03.Muestra'!$D$8:$D$42,ROW('03.Muestra'!$F$8:$F$42)-MIN(ROW('03.Muestra'!$D$8:$D$42))+1,""),ROW()-1842)),"")</f>
        <v>https://www.crtm.es/aviso-legal</v>
      </c>
      <c r="D1860" s="130" t="s">
        <v>34</v>
      </c>
      <c r="E1860" s="107" t="str">
        <f t="shared" si="96"/>
        <v/>
      </c>
      <c r="F1860" s="19"/>
      <c r="G1860" s="19"/>
      <c r="H1860" s="19"/>
      <c r="I1860" s="19"/>
      <c r="J1860" s="19"/>
      <c r="K1860" s="233"/>
    </row>
    <row r="1861" spans="1:11" ht="12" customHeight="1">
      <c r="A1861" s="219" cm="1">
        <f t="array" ref="A1861">IFERROR(INDEX('03.Muestra'!$B$8:$B$42,SMALL(IF("Página Web"='03.Muestra'!$D$8:$D$42,ROW('03.Muestra'!$B$8:$B$42)-MIN(ROW('03.Muestra'!$D$8:$D$42))+1,""),ROW()-1842)),"")</f>
        <v>19</v>
      </c>
      <c r="B1861" s="114" t="str" cm="1">
        <f t="array" ref="B1861">IFERROR(INDEX('03.Muestra'!$C$8:$C$42,SMALL(IF("Página Web"='03.Muestra'!$D$8:$D$42,ROW('03.Muestra'!$C$8:$C$42)-MIN(ROW('03.Muestra'!$D$8:$D$42))+1,""),ROW()-1842)),"")</f>
        <v>Normativa</v>
      </c>
      <c r="C1861" s="114" t="str" cm="1">
        <f t="array" ref="C1861">IFERROR(INDEX('03.Muestra'!$F$8:$F$42,SMALL(IF("Página Web"='03.Muestra'!$D$8:$D$42,ROW('03.Muestra'!$F$8:$F$42)-MIN(ROW('03.Muestra'!$D$8:$D$42))+1,""),ROW()-1842)),"")</f>
        <v>https://www.crtm.es/normativa</v>
      </c>
      <c r="D1861" s="130" t="s">
        <v>34</v>
      </c>
      <c r="E1861" s="107" t="str">
        <f t="shared" si="96"/>
        <v/>
      </c>
      <c r="F1861" s="19"/>
      <c r="G1861" s="19"/>
      <c r="H1861" s="19"/>
      <c r="I1861" s="19"/>
      <c r="J1861" s="19"/>
      <c r="K1861" s="233"/>
    </row>
    <row r="1862" spans="1:11" ht="12" customHeight="1">
      <c r="A1862" s="219" cm="1">
        <f t="array" ref="A1862">IFERROR(INDEX('03.Muestra'!$B$8:$B$42,SMALL(IF("Página Web"='03.Muestra'!$D$8:$D$42,ROW('03.Muestra'!$B$8:$B$42)-MIN(ROW('03.Muestra'!$D$8:$D$42))+1,""),ROW()-1842)),"")</f>
        <v>20</v>
      </c>
      <c r="B1862" s="114" t="str" cm="1">
        <f t="array" ref="B1862">IFERROR(INDEX('03.Muestra'!$C$8:$C$42,SMALL(IF("Página Web"='03.Muestra'!$D$8:$D$42,ROW('03.Muestra'!$C$8:$C$42)-MIN(ROW('03.Muestra'!$D$8:$D$42))+1,""),ROW()-1842)),"")</f>
        <v>Accesibilidad</v>
      </c>
      <c r="C1862" s="114" t="str" cm="1">
        <f t="array" ref="C1862">IFERROR(INDEX('03.Muestra'!$F$8:$F$42,SMALL(IF("Página Web"='03.Muestra'!$D$8:$D$42,ROW('03.Muestra'!$F$8:$F$42)-MIN(ROW('03.Muestra'!$D$8:$D$42))+1,""),ROW()-1842)),"")</f>
        <v>https://www.crtm.es/accesibilidad</v>
      </c>
      <c r="D1862" s="130" t="s">
        <v>34</v>
      </c>
      <c r="E1862" s="107" t="str">
        <f t="shared" si="96"/>
        <v/>
      </c>
      <c r="F1862" s="19"/>
      <c r="G1862" s="19"/>
      <c r="H1862" s="19"/>
      <c r="I1862" s="19"/>
      <c r="J1862" s="19"/>
      <c r="K1862" s="233"/>
    </row>
    <row r="1863" spans="1:11" ht="12" customHeight="1">
      <c r="A1863" s="219" cm="1">
        <f t="array" ref="A1863">IFERROR(INDEX('03.Muestra'!$B$8:$B$42,SMALL(IF("Página Web"='03.Muestra'!$D$8:$D$42,ROW('03.Muestra'!$B$8:$B$42)-MIN(ROW('03.Muestra'!$D$8:$D$42))+1,""),ROW()-1842)),"")</f>
        <v>21</v>
      </c>
      <c r="B1863" s="114" t="str" cm="1">
        <f t="array" ref="B1863">IFERROR(INDEX('03.Muestra'!$C$8:$C$42,SMALL(IF("Página Web"='03.Muestra'!$D$8:$D$42,ROW('03.Muestra'!$C$8:$C$42)-MIN(ROW('03.Muestra'!$D$8:$D$42))+1,""),ROW()-1842)),"")</f>
        <v>Modo accesible</v>
      </c>
      <c r="C1863" s="114" t="str" cm="1">
        <f t="array" ref="C1863">IFERROR(INDEX('03.Muestra'!$F$8:$F$42,SMALL(IF("Página Web"='03.Muestra'!$D$8:$D$42,ROW('03.Muestra'!$F$8:$F$42)-MIN(ROW('03.Muestra'!$D$8:$D$42))+1,""),ROW()-1842)),"")</f>
        <v>https://www.crtm.es/</v>
      </c>
      <c r="D1863" s="130" t="s">
        <v>34</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ref="D1864:D1877" si="97">IF(AND(B1864&lt;&gt;"",C1864&lt;&gt;""),"N/T","")</f>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https://www.crtm.es/</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Red de metro</v>
      </c>
      <c r="C1882" s="114" t="str" cm="1">
        <f t="array" ref="C1882">IFERROR(INDEX('03.Muestra'!$F$8:$F$42,SMALL(IF("Página Web"='03.Muestra'!$D$8:$D$42,ROW('03.Muestra'!$F$8:$F$42)-MIN(ROW('03.Muestra'!$D$8:$D$42))+1,""),ROW()-1880)),"")</f>
        <v>https://www.crtm.es/tu-transporte-publico/metro/</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21</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Líneas de metro</v>
      </c>
      <c r="C1883" s="114" t="str" cm="1">
        <f t="array" ref="C1883">IFERROR(INDEX('03.Muestra'!$F$8:$F$42,SMALL(IF("Página Web"='03.Muestra'!$D$8:$D$42,ROW('03.Muestra'!$F$8:$F$42)-MIN(ROW('03.Muestra'!$D$8:$D$42))+1,""),ROW()-1880)),"")</f>
        <v>https://www.crtm.es/tu-transporte-publico/metro/lineas/4__1___</v>
      </c>
      <c r="D1883" s="130" t="s">
        <v>27</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Estaciones Aeropuerto T1-T2-T3</v>
      </c>
      <c r="C1884" s="114" t="str" cm="1">
        <f t="array" ref="C1884">IFERROR(INDEX('03.Muestra'!$F$8:$F$42,SMALL(IF("Página Web"='03.Muestra'!$D$8:$D$42,ROW('03.Muestra'!$F$8:$F$42)-MIN(ROW('03.Muestra'!$D$8:$D$42))+1,""),ROW()-1880)),"")</f>
        <v>https://www.crtm.es/tu-transporte-publico/metro/estaciones/4_159</v>
      </c>
      <c r="D1884" s="130" t="s">
        <v>27</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Muévete por Madrid</v>
      </c>
      <c r="C1885" s="114" t="str" cm="1">
        <f t="array" ref="C1885">IFERROR(INDEX('03.Muestra'!$F$8:$F$42,SMALL(IF("Página Web"='03.Muestra'!$D$8:$D$42,ROW('03.Muestra'!$F$8:$F$42)-MIN(ROW('03.Muestra'!$D$8:$D$42))+1,""),ROW()-1880)),"")</f>
        <v>https://www.crtm.es/muevete-por-madrid/</v>
      </c>
      <c r="D1885" s="130" t="s">
        <v>27</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conexiones con aeropuerto y principales estaciones</v>
      </c>
      <c r="C1886" s="114" t="str" cm="1">
        <f t="array" ref="C1886">IFERROR(INDEX('03.Muestra'!$F$8:$F$42,SMALL(IF("Página Web"='03.Muestra'!$D$8:$D$42,ROW('03.Muestra'!$F$8:$F$42)-MIN(ROW('03.Muestra'!$D$8:$D$42))+1,""),ROW()-1880)),"")</f>
        <v xml:space="preserve">https://www.crtm.es/muevete-por-madrid/conexiones-con-aeropuerto-y-principales-estaciones/ </v>
      </c>
      <c r="D1886" s="130" t="s">
        <v>27</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Atención desplazados Ucranianos</v>
      </c>
      <c r="C1887" s="114" t="str" cm="1">
        <f t="array" ref="C1887">IFERROR(INDEX('03.Muestra'!$F$8:$F$42,SMALL(IF("Página Web"='03.Muestra'!$D$8:$D$42,ROW('03.Muestra'!$F$8:$F$42)-MIN(ROW('03.Muestra'!$D$8:$D$42))+1,""),ROW()-1880)),"")</f>
        <v>https://www.crtm.es/atencion-desplazados-ucranianos/#item3</v>
      </c>
      <c r="D1887" s="130" t="s">
        <v>27</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Preguntas frecuentes (Tarjeta transporte público personal)</v>
      </c>
      <c r="C1888" s="114" t="str" cm="1">
        <f t="array" ref="C1888">IFERROR(INDEX('03.Muestra'!$F$8:$F$42,SMALL(IF("Página Web"='03.Muestra'!$D$8:$D$42,ROW('03.Muestra'!$F$8:$F$42)-MIN(ROW('03.Muestra'!$D$8:$D$42))+1,""),ROW()-1880)),"")</f>
        <v xml:space="preserve"> https://www.crtm.es/billetes-y-tarifas/tarjeta-transporte-publico/preguntas-frecuentes/#item23</v>
      </c>
      <c r="D1888" s="130" t="s">
        <v>27</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Billetes y abonos (Metro)</v>
      </c>
      <c r="C1889" s="114" t="str" cm="1">
        <f t="array" ref="C1889">IFERROR(INDEX('03.Muestra'!$F$8:$F$42,SMALL(IF("Página Web"='03.Muestra'!$D$8:$D$42,ROW('03.Muestra'!$F$8:$F$42)-MIN(ROW('03.Muestra'!$D$8:$D$42))+1,""),ROW()-1880)),"")</f>
        <v>https://www.crtm.es/billetes-y-tarifas/billetes-y-abonos/metro/?idPestana=1&amp;lang=#item10</v>
      </c>
      <c r="D1889" s="130" t="s">
        <v>27</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Billetes y tarifas (App)</v>
      </c>
      <c r="C1890" s="114" t="str" cm="1">
        <f t="array" ref="C1890">IFERROR(INDEX('03.Muestra'!$F$8:$F$42,SMALL(IF("Página Web"='03.Muestra'!$D$8:$D$42,ROW('03.Muestra'!$F$8:$F$42)-MIN(ROW('03.Muestra'!$D$8:$D$42))+1,""),ROW()-1880)),"")</f>
        <v>https://www.crtm.es/billetes-y-tarifas/apps/</v>
      </c>
      <c r="D1890" s="130" t="s">
        <v>27</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Atención al cliente</v>
      </c>
      <c r="C1891" s="114" t="str" cm="1">
        <f t="array" ref="C1891">IFERROR(INDEX('03.Muestra'!$F$8:$F$42,SMALL(IF("Página Web"='03.Muestra'!$D$8:$D$42,ROW('03.Muestra'!$F$8:$F$42)-MIN(ROW('03.Muestra'!$D$8:$D$42))+1,""),ROW()-1880)),"")</f>
        <v>https://www.crtm.es/atencion-al-cliente/</v>
      </c>
      <c r="D1891" s="130" t="s">
        <v>27</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Conócenos</v>
      </c>
      <c r="C1892" s="114" t="str" cm="1">
        <f t="array" ref="C1892">IFERROR(INDEX('03.Muestra'!$F$8:$F$42,SMALL(IF("Página Web"='03.Muestra'!$D$8:$D$42,ROW('03.Muestra'!$F$8:$F$42)-MIN(ROW('03.Muestra'!$D$8:$D$42))+1,""),ROW()-1880)),"")</f>
        <v>https://www.crtm.es/conocenos/#CentrodeDocumentacion</v>
      </c>
      <c r="D1892" s="130" t="s">
        <v>27</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Actualidad del servicio</v>
      </c>
      <c r="C1893" s="114" t="str" cm="1">
        <f t="array" ref="C1893">IFERROR(INDEX('03.Muestra'!$F$8:$F$42,SMALL(IF("Página Web"='03.Muestra'!$D$8:$D$42,ROW('03.Muestra'!$F$8:$F$42)-MIN(ROW('03.Muestra'!$D$8:$D$42))+1,""),ROW()-1880)),"")</f>
        <v>https://www.crtm.es/comunicacion/actualidad-del-servicio/?idPestana=1&amp;lang=es</v>
      </c>
      <c r="D1893" s="130" t="s">
        <v>27</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Galería de fotos</v>
      </c>
      <c r="C1894" s="114" t="str" cm="1">
        <f t="array" ref="C1894">IFERROR(INDEX('03.Muestra'!$F$8:$F$42,SMALL(IF("Página Web"='03.Muestra'!$D$8:$D$42,ROW('03.Muestra'!$F$8:$F$42)-MIN(ROW('03.Muestra'!$D$8:$D$42))+1,""),ROW()-1880)),"")</f>
        <v>https://www.crtm.es/comunicacion/multimedia/galeria-de-fotos/</v>
      </c>
      <c r="D1894" s="130" t="s">
        <v>27</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Mapa web</v>
      </c>
      <c r="C1895" s="114" t="str" cm="1">
        <f t="array" ref="C1895">IFERROR(INDEX('03.Muestra'!$F$8:$F$42,SMALL(IF("Página Web"='03.Muestra'!$D$8:$D$42,ROW('03.Muestra'!$F$8:$F$42)-MIN(ROW('03.Muestra'!$D$8:$D$42))+1,""),ROW()-1880)),"")</f>
        <v>https://www.crtm.es/mapa-web</v>
      </c>
      <c r="D1895" s="130" t="s">
        <v>27</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Protección de datos</v>
      </c>
      <c r="C1896" s="114" t="str" cm="1">
        <f t="array" ref="C1896">IFERROR(INDEX('03.Muestra'!$F$8:$F$42,SMALL(IF("Página Web"='03.Muestra'!$D$8:$D$42,ROW('03.Muestra'!$F$8:$F$42)-MIN(ROW('03.Muestra'!$D$8:$D$42))+1,""),ROW()-1880)),"")</f>
        <v>https://www.crtm.es/proteccion-de-datos</v>
      </c>
      <c r="D1896" s="130" t="s">
        <v>27</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Política de cookies</v>
      </c>
      <c r="C1897" s="114" t="str" cm="1">
        <f t="array" ref="C1897">IFERROR(INDEX('03.Muestra'!$F$8:$F$42,SMALL(IF("Página Web"='03.Muestra'!$D$8:$D$42,ROW('03.Muestra'!$F$8:$F$42)-MIN(ROW('03.Muestra'!$D$8:$D$42))+1,""),ROW()-1880)),"")</f>
        <v>https://www.crtm.es/politica-de-cookies</v>
      </c>
      <c r="D1897" s="130" t="s">
        <v>27</v>
      </c>
      <c r="E1897" s="107" t="str">
        <f t="shared" si="98"/>
        <v/>
      </c>
      <c r="F1897" s="19"/>
      <c r="G1897" s="19"/>
      <c r="H1897" s="19"/>
      <c r="I1897" s="19"/>
      <c r="J1897" s="19"/>
      <c r="K1897" s="233"/>
    </row>
    <row r="1898" spans="1:11" ht="12" customHeight="1">
      <c r="A1898" s="219" cm="1">
        <f t="array" ref="A1898">IFERROR(INDEX('03.Muestra'!$B$8:$B$42,SMALL(IF("Página Web"='03.Muestra'!$D$8:$D$42,ROW('03.Muestra'!$B$8:$B$42)-MIN(ROW('03.Muestra'!$D$8:$D$42))+1,""),ROW()-1880)),"")</f>
        <v>18</v>
      </c>
      <c r="B1898" s="114" t="str" cm="1">
        <f t="array" ref="B1898">IFERROR(INDEX('03.Muestra'!$C$8:$C$42,SMALL(IF("Página Web"='03.Muestra'!$D$8:$D$42,ROW('03.Muestra'!$C$8:$C$42)-MIN(ROW('03.Muestra'!$D$8:$D$42))+1,""),ROW()-1880)),"")</f>
        <v>Aviso Legal</v>
      </c>
      <c r="C1898" s="114" t="str" cm="1">
        <f t="array" ref="C1898">IFERROR(INDEX('03.Muestra'!$F$8:$F$42,SMALL(IF("Página Web"='03.Muestra'!$D$8:$D$42,ROW('03.Muestra'!$F$8:$F$42)-MIN(ROW('03.Muestra'!$D$8:$D$42))+1,""),ROW()-1880)),"")</f>
        <v>https://www.crtm.es/aviso-legal</v>
      </c>
      <c r="D1898" s="130" t="s">
        <v>27</v>
      </c>
      <c r="E1898" s="107" t="str">
        <f t="shared" si="98"/>
        <v/>
      </c>
      <c r="F1898" s="19"/>
      <c r="G1898" s="19"/>
      <c r="H1898" s="19"/>
      <c r="I1898" s="19"/>
      <c r="J1898" s="19"/>
      <c r="K1898" s="233"/>
    </row>
    <row r="1899" spans="1:11" ht="12" customHeight="1">
      <c r="A1899" s="219" cm="1">
        <f t="array" ref="A1899">IFERROR(INDEX('03.Muestra'!$B$8:$B$42,SMALL(IF("Página Web"='03.Muestra'!$D$8:$D$42,ROW('03.Muestra'!$B$8:$B$42)-MIN(ROW('03.Muestra'!$D$8:$D$42))+1,""),ROW()-1880)),"")</f>
        <v>19</v>
      </c>
      <c r="B1899" s="114" t="str" cm="1">
        <f t="array" ref="B1899">IFERROR(INDEX('03.Muestra'!$C$8:$C$42,SMALL(IF("Página Web"='03.Muestra'!$D$8:$D$42,ROW('03.Muestra'!$C$8:$C$42)-MIN(ROW('03.Muestra'!$D$8:$D$42))+1,""),ROW()-1880)),"")</f>
        <v>Normativa</v>
      </c>
      <c r="C1899" s="114" t="str" cm="1">
        <f t="array" ref="C1899">IFERROR(INDEX('03.Muestra'!$F$8:$F$42,SMALL(IF("Página Web"='03.Muestra'!$D$8:$D$42,ROW('03.Muestra'!$F$8:$F$42)-MIN(ROW('03.Muestra'!$D$8:$D$42))+1,""),ROW()-1880)),"")</f>
        <v>https://www.crtm.es/normativa</v>
      </c>
      <c r="D1899" s="130" t="s">
        <v>27</v>
      </c>
      <c r="E1899" s="107" t="str">
        <f t="shared" si="98"/>
        <v/>
      </c>
      <c r="F1899" s="19"/>
      <c r="G1899" s="19"/>
      <c r="H1899" s="19"/>
      <c r="I1899" s="19"/>
      <c r="J1899" s="19"/>
      <c r="K1899" s="233"/>
    </row>
    <row r="1900" spans="1:11" ht="12" customHeight="1">
      <c r="A1900" s="219" cm="1">
        <f t="array" ref="A1900">IFERROR(INDEX('03.Muestra'!$B$8:$B$42,SMALL(IF("Página Web"='03.Muestra'!$D$8:$D$42,ROW('03.Muestra'!$B$8:$B$42)-MIN(ROW('03.Muestra'!$D$8:$D$42))+1,""),ROW()-1880)),"")</f>
        <v>20</v>
      </c>
      <c r="B1900" s="114" t="str" cm="1">
        <f t="array" ref="B1900">IFERROR(INDEX('03.Muestra'!$C$8:$C$42,SMALL(IF("Página Web"='03.Muestra'!$D$8:$D$42,ROW('03.Muestra'!$C$8:$C$42)-MIN(ROW('03.Muestra'!$D$8:$D$42))+1,""),ROW()-1880)),"")</f>
        <v>Accesibilidad</v>
      </c>
      <c r="C1900" s="114" t="str" cm="1">
        <f t="array" ref="C1900">IFERROR(INDEX('03.Muestra'!$F$8:$F$42,SMALL(IF("Página Web"='03.Muestra'!$D$8:$D$42,ROW('03.Muestra'!$F$8:$F$42)-MIN(ROW('03.Muestra'!$D$8:$D$42))+1,""),ROW()-1880)),"")</f>
        <v>https://www.crtm.es/accesibilidad</v>
      </c>
      <c r="D1900" s="130" t="s">
        <v>27</v>
      </c>
      <c r="E1900" s="107" t="str">
        <f t="shared" si="98"/>
        <v/>
      </c>
      <c r="F1900" s="19"/>
      <c r="G1900" s="19"/>
      <c r="H1900" s="19"/>
      <c r="I1900" s="19"/>
      <c r="J1900" s="19"/>
      <c r="K1900" s="233"/>
    </row>
    <row r="1901" spans="1:11" ht="12" customHeight="1">
      <c r="A1901" s="219" cm="1">
        <f t="array" ref="A1901">IFERROR(INDEX('03.Muestra'!$B$8:$B$42,SMALL(IF("Página Web"='03.Muestra'!$D$8:$D$42,ROW('03.Muestra'!$B$8:$B$42)-MIN(ROW('03.Muestra'!$D$8:$D$42))+1,""),ROW()-1880)),"")</f>
        <v>21</v>
      </c>
      <c r="B1901" s="114" t="str" cm="1">
        <f t="array" ref="B1901">IFERROR(INDEX('03.Muestra'!$C$8:$C$42,SMALL(IF("Página Web"='03.Muestra'!$D$8:$D$42,ROW('03.Muestra'!$C$8:$C$42)-MIN(ROW('03.Muestra'!$D$8:$D$42))+1,""),ROW()-1880)),"")</f>
        <v>Modo accesible</v>
      </c>
      <c r="C1901" s="114" t="str" cm="1">
        <f t="array" ref="C1901">IFERROR(INDEX('03.Muestra'!$F$8:$F$42,SMALL(IF("Página Web"='03.Muestra'!$D$8:$D$42,ROW('03.Muestra'!$F$8:$F$42)-MIN(ROW('03.Muestra'!$D$8:$D$42))+1,""),ROW()-1880)),"")</f>
        <v>https://www.crtm.es/</v>
      </c>
      <c r="D1901" s="130" t="s">
        <v>27</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ref="D1902:D1915" si="99">IF(AND(B1902&lt;&gt;"",C1902&lt;&gt;""),"N/T","")</f>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73"/>
      <c r="C6" s="173"/>
      <c r="D6" s="173"/>
      <c r="E6" s="174"/>
      <c r="F6" s="173"/>
      <c r="G6" s="173"/>
      <c r="H6" s="173"/>
      <c r="I6" s="173"/>
      <c r="J6" s="173"/>
      <c r="K6" s="173"/>
      <c r="L6" s="173"/>
      <c r="M6" s="173"/>
      <c r="N6" s="19"/>
      <c r="O6" s="19"/>
    </row>
    <row r="7" spans="1:64" ht="12.65" customHeight="1">
      <c r="B7" s="19"/>
      <c r="C7" s="19"/>
      <c r="D7" s="19"/>
      <c r="E7" s="107"/>
      <c r="F7" s="19"/>
      <c r="G7" s="19"/>
      <c r="H7" s="19"/>
      <c r="I7" s="19"/>
      <c r="J7" s="19"/>
      <c r="K7" s="19"/>
      <c r="L7" s="19"/>
      <c r="M7" s="19"/>
      <c r="N7" s="19"/>
      <c r="O7" s="19"/>
    </row>
    <row r="8" spans="1:64" ht="18.899999999999999" customHeight="1">
      <c r="B8" s="267" t="s">
        <v>270</v>
      </c>
      <c r="C8" s="267"/>
      <c r="D8" s="267"/>
      <c r="E8" s="267"/>
      <c r="F8" s="267"/>
      <c r="G8" s="267"/>
      <c r="H8" s="267"/>
      <c r="I8" s="267"/>
      <c r="J8" s="267"/>
      <c r="K8" s="267"/>
      <c r="L8" s="267"/>
      <c r="M8" s="267"/>
      <c r="N8" s="19"/>
      <c r="O8" s="19"/>
    </row>
    <row r="9" spans="1:64" ht="24"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5"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5"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5"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5"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5"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5"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5"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5"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5"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5"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5"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5"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5"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5"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5"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5"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5"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5"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5"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5"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5"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5"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5"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5"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2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2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5"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5"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5"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5"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5"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5"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5"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5"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5"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5"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5"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5"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5"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5"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5"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5"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5"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5"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5"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5"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5"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5"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5"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5"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5"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5"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5"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5"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5"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5"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5"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5"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5"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5"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5"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5"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5"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5"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5"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5"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5"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5"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5"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5"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5"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5"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5"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5"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5"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5"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5"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5"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5">
      <c r="B1613" s="19"/>
      <c r="C1613" s="19"/>
      <c r="D1613" s="107"/>
      <c r="E1613" s="112"/>
      <c r="K1613" s="233"/>
      <c r="L1613" s="19"/>
    </row>
    <row r="1614" spans="1:12" ht="31">
      <c r="A1614" s="218" t="s">
        <v>267</v>
      </c>
      <c r="B1614" s="24" t="s">
        <v>89</v>
      </c>
      <c r="C1614" s="25" t="s">
        <v>463</v>
      </c>
      <c r="D1614" s="26" t="s">
        <v>31</v>
      </c>
      <c r="E1614" s="123"/>
      <c r="K1614" s="233"/>
      <c r="L1614" s="19"/>
    </row>
    <row r="1615" spans="1:12" ht="14.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4.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5">
      <c r="B1650" s="19"/>
      <c r="C1650" s="19"/>
      <c r="D1650" s="107"/>
      <c r="E1650" s="19"/>
      <c r="F1650" s="19"/>
      <c r="G1650" s="19"/>
      <c r="H1650" s="19"/>
      <c r="I1650" s="19"/>
      <c r="J1650" s="19"/>
      <c r="K1650" s="233"/>
    </row>
    <row r="1651" spans="1:11" ht="14.5">
      <c r="B1651" s="19"/>
      <c r="C1651" s="19"/>
      <c r="D1651" s="107"/>
      <c r="E1651" s="112"/>
      <c r="F1651" s="19"/>
      <c r="G1651" s="19"/>
      <c r="H1651" s="19"/>
      <c r="I1651" s="19"/>
      <c r="J1651" s="19"/>
      <c r="K1651" s="233"/>
    </row>
    <row r="1652" spans="1:11" ht="31">
      <c r="A1652" s="218" t="s">
        <v>267</v>
      </c>
      <c r="B1652" s="24" t="s">
        <v>89</v>
      </c>
      <c r="C1652" s="25" t="s">
        <v>464</v>
      </c>
      <c r="D1652" s="26" t="s">
        <v>31</v>
      </c>
      <c r="E1652" s="123"/>
      <c r="K1652" s="233"/>
    </row>
    <row r="1653" spans="1:11" ht="14.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4.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5">
      <c r="B1688" s="19"/>
      <c r="C1688" s="19"/>
      <c r="D1688" s="107"/>
      <c r="E1688" s="19"/>
      <c r="F1688" s="19"/>
      <c r="G1688" s="19"/>
      <c r="H1688" s="19"/>
      <c r="I1688" s="19"/>
      <c r="J1688" s="19"/>
      <c r="K1688" s="233"/>
    </row>
    <row r="1689" spans="1:11" ht="14.5">
      <c r="B1689" s="19"/>
      <c r="C1689" s="19"/>
      <c r="D1689" s="107"/>
      <c r="E1689" s="112"/>
      <c r="F1689" s="19"/>
      <c r="G1689" s="19"/>
      <c r="H1689" s="19"/>
      <c r="I1689" s="19"/>
      <c r="J1689" s="19"/>
      <c r="K1689" s="233"/>
    </row>
    <row r="1690" spans="1:11" ht="31">
      <c r="A1690" s="218" t="s">
        <v>267</v>
      </c>
      <c r="B1690" s="24" t="s">
        <v>89</v>
      </c>
      <c r="C1690" s="25" t="s">
        <v>465</v>
      </c>
      <c r="D1690" s="26" t="s">
        <v>31</v>
      </c>
      <c r="E1690" s="123"/>
      <c r="K1690" s="233"/>
    </row>
    <row r="1691" spans="1:11" ht="14.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4.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RASERO LOPEZ, MACARENA</cp:lastModifiedBy>
  <cp:revision>109</cp:revision>
  <cp:lastPrinted>2020-09-14T10:56:43Z</cp:lastPrinted>
  <dcterms:created xsi:type="dcterms:W3CDTF">2020-03-26T13:14:48Z</dcterms:created>
  <dcterms:modified xsi:type="dcterms:W3CDTF">2026-06-19T10:18:39Z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2025-06-04T14:38:53Z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c54f4063-bbc1-46d7-8375-0ea5521969ca</vt:lpwstr>
  </property>
  <property fmtid="{D5CDD505-2E9C-101B-9397-08002B2CF9AE}" pid="15" name="MSIP_Label_e463cba9-5f6c-478d-9329-7b2295e4e8ed_ContentBits">
    <vt:lpwstr>0</vt:lpwstr>
  </property>
</Properties>
</file>